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455" windowHeight="7673" activeTab="0"/>
  </bookViews>
  <sheets>
    <sheet name="CBD Budget" sheetId="1" r:id="rId1"/>
    <sheet name="Chemicals" sheetId="2" r:id="rId2"/>
    <sheet name="Machinery" sheetId="3" r:id="rId3"/>
    <sheet name="Seed" sheetId="4" r:id="rId4"/>
    <sheet name="Rates" sheetId="5" r:id="rId5"/>
    <sheet name="Mach Info" sheetId="6" r:id="rId6"/>
  </sheets>
  <definedNames>
    <definedName name="Chem_P">'Chemicals'!$A$7:$J$301</definedName>
    <definedName name="Chem_Price">'Chemicals'!$A$7:$J$301</definedName>
    <definedName name="Footnote">'CBD Budget'!$A$137:$A$142</definedName>
    <definedName name="IAVC">'CBD Budget'!$F$42</definedName>
    <definedName name="Mach_Cost">'Machinery'!$A$7:$M$292</definedName>
    <definedName name="Mach_Costs">'Machinery'!$A$7:$M$292</definedName>
    <definedName name="Mach_Name">'Mach Info'!$A$7:$AA$226</definedName>
    <definedName name="NET">'CBD Budget'!$F$59</definedName>
    <definedName name="_xlnm.Print_Area" localSheetId="0">'CBD Budget'!$A$1:$G$142</definedName>
    <definedName name="REVENUE">'CBD Budget'!$F$15</definedName>
    <definedName name="Seeds">'Seed'!$A$7:$H$88</definedName>
    <definedName name="TC">'CBD Budget'!$F$57</definedName>
    <definedName name="TFC">'CBD Budget'!$F$49</definedName>
    <definedName name="TVC">'CBD Budget'!$F$40</definedName>
  </definedNames>
  <calcPr fullCalcOnLoad="1"/>
</workbook>
</file>

<file path=xl/sharedStrings.xml><?xml version="1.0" encoding="utf-8"?>
<sst xmlns="http://schemas.openxmlformats.org/spreadsheetml/2006/main" count="2533" uniqueCount="1031">
  <si>
    <t/>
  </si>
  <si>
    <t xml:space="preserve"> PRICE OR</t>
  </si>
  <si>
    <t>TOTAL</t>
  </si>
  <si>
    <t>UNIT</t>
  </si>
  <si>
    <t>QUANTITY</t>
  </si>
  <si>
    <t>COST/UNIT</t>
  </si>
  <si>
    <t>PER ACRE</t>
  </si>
  <si>
    <t>1. GROSS RECEIPTS</t>
  </si>
  <si>
    <t>WHEAT</t>
  </si>
  <si>
    <t>BU.</t>
  </si>
  <si>
    <t>TOTAL RECEIPTS:</t>
  </si>
  <si>
    <t>2. VARIABLE COSTS</t>
  </si>
  <si>
    <t xml:space="preserve">  LIME (PRORATED)</t>
  </si>
  <si>
    <t>ACRE</t>
  </si>
  <si>
    <t>HRS</t>
  </si>
  <si>
    <t>DOL.</t>
  </si>
  <si>
    <t xml:space="preserve">   TOTAL VARIABLE COSTS:</t>
  </si>
  <si>
    <t>4. FIXED COSTS</t>
  </si>
  <si>
    <t xml:space="preserve"> TRACTOR/MACHINERY</t>
  </si>
  <si>
    <t xml:space="preserve">   TOTAL FIXED COSTS:</t>
  </si>
  <si>
    <t>5. OTHER COSTS</t>
  </si>
  <si>
    <t xml:space="preserve"> LAND RENT</t>
  </si>
  <si>
    <t xml:space="preserve"> GENERAL OVERHEAD</t>
  </si>
  <si>
    <t xml:space="preserve">   TOTAL OTHER COSTS:</t>
  </si>
  <si>
    <t>6. TOTAL COSTS:</t>
  </si>
  <si>
    <t xml:space="preserve">  VARIABLE COSTS</t>
  </si>
  <si>
    <t xml:space="preserve">  TOTAL COSTS</t>
  </si>
  <si>
    <t>TIMES</t>
  </si>
  <si>
    <t xml:space="preserve"> LABOR</t>
  </si>
  <si>
    <t>MACHINE</t>
  </si>
  <si>
    <t>VARIABLE</t>
  </si>
  <si>
    <t xml:space="preserve">  FIXED</t>
  </si>
  <si>
    <t>OVER</t>
  </si>
  <si>
    <t xml:space="preserve"> HOURS</t>
  </si>
  <si>
    <t>COSTS</t>
  </si>
  <si>
    <t>EQUIP</t>
  </si>
  <si>
    <t>NUM</t>
  </si>
  <si>
    <t>MONTH</t>
  </si>
  <si>
    <t>PER ACRE TOTALS FOR</t>
  </si>
  <si>
    <t>SELECTED OPERATIONS</t>
  </si>
  <si>
    <t>UNALLOCATED LABOR(HRS./AC.)</t>
  </si>
  <si>
    <t>YIELD</t>
  </si>
  <si>
    <t xml:space="preserve">    TOTAL:</t>
  </si>
  <si>
    <t>-</t>
  </si>
  <si>
    <t>PT</t>
  </si>
  <si>
    <t>DIAZINON AG500</t>
  </si>
  <si>
    <t>GAL</t>
  </si>
  <si>
    <t>DRAWN IMPLEMENTS</t>
  </si>
  <si>
    <t>BASAMID</t>
  </si>
  <si>
    <t>LB</t>
  </si>
  <si>
    <t>INCOME ABOVE VARIABLE COSTS AT DIFFERING YIELDS AND PRICES</t>
  </si>
  <si>
    <t>NAME</t>
  </si>
  <si>
    <t>BUD</t>
  </si>
  <si>
    <t>AVERAGE</t>
  </si>
  <si>
    <t>COMMOM</t>
  </si>
  <si>
    <t xml:space="preserve">TYPE </t>
  </si>
  <si>
    <t>PRODUCT</t>
  </si>
  <si>
    <t>GET</t>
  </si>
  <si>
    <t>PRICE 2</t>
  </si>
  <si>
    <t>PRICE</t>
  </si>
  <si>
    <t>HERBICIDE</t>
  </si>
  <si>
    <t>2, 4-DB</t>
  </si>
  <si>
    <t>FUNGICIDE</t>
  </si>
  <si>
    <t>ABOUND FL</t>
  </si>
  <si>
    <t>BACTERICIDE</t>
  </si>
  <si>
    <t>AG STREP (MYCIN)</t>
  </si>
  <si>
    <t xml:space="preserve">LB </t>
  </si>
  <si>
    <t>ALIETTE</t>
  </si>
  <si>
    <t>INSECTICIDE</t>
  </si>
  <si>
    <t>AMBUSH</t>
  </si>
  <si>
    <t>OZ</t>
  </si>
  <si>
    <t>AMMO</t>
  </si>
  <si>
    <t>ASANA XL</t>
  </si>
  <si>
    <t>BANNER</t>
  </si>
  <si>
    <t>BASAGRAN</t>
  </si>
  <si>
    <t>FUMIGANT</t>
  </si>
  <si>
    <t>BAYLETON 50DF</t>
  </si>
  <si>
    <t>BENLATE 50W</t>
  </si>
  <si>
    <t>QT</t>
  </si>
  <si>
    <t>BIDRIN</t>
  </si>
  <si>
    <t>BLADEX 4L</t>
  </si>
  <si>
    <t>BLAZER 2S</t>
  </si>
  <si>
    <t>BLUE SHIELD</t>
  </si>
  <si>
    <t>BRAVO</t>
  </si>
  <si>
    <t>BROM-O-GAS</t>
  </si>
  <si>
    <t>CAPTAN 50W</t>
  </si>
  <si>
    <t>captan</t>
  </si>
  <si>
    <t>CHLOR-O-PIC</t>
  </si>
  <si>
    <t>CLASSIC</t>
  </si>
  <si>
    <t xml:space="preserve">COBRA </t>
  </si>
  <si>
    <t>COMMAND 3ME</t>
  </si>
  <si>
    <t>COTORAN 4L</t>
  </si>
  <si>
    <t>COTORAN DF</t>
  </si>
  <si>
    <t>CURACRON 8E</t>
  </si>
  <si>
    <t>CURBIT</t>
  </si>
  <si>
    <t>CYGON 400</t>
  </si>
  <si>
    <t>dimethoate</t>
  </si>
  <si>
    <t>DACTHAL 75WP</t>
  </si>
  <si>
    <t>DEVRINOL 2E</t>
  </si>
  <si>
    <t>DEVRINOL 50DF</t>
  </si>
  <si>
    <t>diazinon</t>
  </si>
  <si>
    <t>DIBROM</t>
  </si>
  <si>
    <t>DIPEL DF</t>
  </si>
  <si>
    <t>DIPEL 4L</t>
  </si>
  <si>
    <t>DISYSTON</t>
  </si>
  <si>
    <t>DEFOLIANT</t>
  </si>
  <si>
    <t>DROPP</t>
  </si>
  <si>
    <t>DSMA 3.6L</t>
  </si>
  <si>
    <t>EPTAM</t>
  </si>
  <si>
    <t>FOLEX</t>
  </si>
  <si>
    <t xml:space="preserve">FOLICUR 3.6f </t>
  </si>
  <si>
    <t>FURADAN 4F</t>
  </si>
  <si>
    <t>FUSILADE DX</t>
  </si>
  <si>
    <t>HOELON</t>
  </si>
  <si>
    <t>INDAR 75 WSP</t>
  </si>
  <si>
    <t>KARATE</t>
  </si>
  <si>
    <t>KOCIDE DF</t>
  </si>
  <si>
    <t>LARVIN</t>
  </si>
  <si>
    <t>LASSO 4EC</t>
  </si>
  <si>
    <t>LEXONE DF</t>
  </si>
  <si>
    <t>LOROX DF</t>
  </si>
  <si>
    <t>LORSBAN 15G</t>
  </si>
  <si>
    <t>MALATHION 57%</t>
  </si>
  <si>
    <t>MANEB 80</t>
  </si>
  <si>
    <t>maneb</t>
  </si>
  <si>
    <t>MANEX</t>
  </si>
  <si>
    <t>MANZATE 200</t>
  </si>
  <si>
    <t>METHYL PARATHION</t>
  </si>
  <si>
    <t>NEMATICIDE</t>
  </si>
  <si>
    <t>MONITOR</t>
  </si>
  <si>
    <t>MYCO-SHIELD</t>
  </si>
  <si>
    <t>NEMACUR</t>
  </si>
  <si>
    <t>NEMACUR 15G</t>
  </si>
  <si>
    <t>NOVA 40 DF</t>
  </si>
  <si>
    <t>OFF SHOOT -T</t>
  </si>
  <si>
    <t>ORBIT</t>
  </si>
  <si>
    <t>PARATHION 4E</t>
  </si>
  <si>
    <t>parathion</t>
  </si>
  <si>
    <t>GROWTH REG.</t>
  </si>
  <si>
    <t>PIX</t>
  </si>
  <si>
    <t>POAST</t>
  </si>
  <si>
    <t>POLYRAM 80 DF</t>
  </si>
  <si>
    <t>POUNCE</t>
  </si>
  <si>
    <t>PREFAR 4E</t>
  </si>
  <si>
    <t>PREP</t>
  </si>
  <si>
    <t>GROWTH REG</t>
  </si>
  <si>
    <t>PRIME PLUS</t>
  </si>
  <si>
    <t>PRINCEP 4L</t>
  </si>
  <si>
    <t>PROWL 3.3L</t>
  </si>
  <si>
    <t>RIDOMIL 2E</t>
  </si>
  <si>
    <t>RIDOMIL GOLD 4EC</t>
  </si>
  <si>
    <t>RONILAN</t>
  </si>
  <si>
    <t>ROVRAL</t>
  </si>
  <si>
    <t>ROYAL MH30</t>
  </si>
  <si>
    <t>RUBIGAN</t>
  </si>
  <si>
    <t>SCEPTER</t>
  </si>
  <si>
    <t>SEVIN 80S</t>
  </si>
  <si>
    <t>SONALAN</t>
  </si>
  <si>
    <t>STAPLE</t>
  </si>
  <si>
    <t>SURFLAN 4AS</t>
  </si>
  <si>
    <t>SUTAN + 6.7E</t>
  </si>
  <si>
    <t>SYLLIT</t>
  </si>
  <si>
    <t>TELONE C-17</t>
  </si>
  <si>
    <t>INSEC/NEMAT</t>
  </si>
  <si>
    <t>TEMIK 15G</t>
  </si>
  <si>
    <t>THIRAM</t>
  </si>
  <si>
    <t>thiram</t>
  </si>
  <si>
    <t>TILT</t>
  </si>
  <si>
    <t>VAPAM</t>
  </si>
  <si>
    <t>VERNAM 7E</t>
  </si>
  <si>
    <t xml:space="preserve">ZIRAM </t>
  </si>
  <si>
    <t>ziram</t>
  </si>
  <si>
    <t>SURFACTANT</t>
  </si>
  <si>
    <t>surfactant</t>
  </si>
  <si>
    <t>CHEM</t>
  </si>
  <si>
    <t>SELF-PROPELLED AND DRAWN IMPLEMENTS GENERAL SPECIFICATIONS</t>
  </si>
  <si>
    <t>------ EXCLUDING TRACTOR -----</t>
  </si>
  <si>
    <t>------------- INCLUDING TRACTOR ---------</t>
  </si>
  <si>
    <t>ESTIMATED</t>
  </si>
  <si>
    <t>TVC/</t>
  </si>
  <si>
    <t>TFC/</t>
  </si>
  <si>
    <t>TC/</t>
  </si>
  <si>
    <t>HRS/</t>
  </si>
  <si>
    <t>COST</t>
  </si>
  <si>
    <t>HOUR</t>
  </si>
  <si>
    <t>AC</t>
  </si>
  <si>
    <t>SELF-PROPELLED ITEMS</t>
  </si>
  <si>
    <t>RATES AND COSTS THAT APPLY TO THE COSTS</t>
  </si>
  <si>
    <t>VALUE</t>
  </si>
  <si>
    <t>INTEREST RATE (%)</t>
  </si>
  <si>
    <t>TAX RATE ($/1000)</t>
  </si>
  <si>
    <t>DIESEL PRICE ($/GALLON)</t>
  </si>
  <si>
    <t>GAS PRICE ($/GALLON)</t>
  </si>
  <si>
    <t>LP PRICE ($/GALLON)</t>
  </si>
  <si>
    <t>LUBRICATION COST (%)</t>
  </si>
  <si>
    <t>LABOR RATE ($/HOUR)</t>
  </si>
  <si>
    <t>FUEL CONSUMPTION MULTIPLIER (DIESEL)</t>
  </si>
  <si>
    <t>FUEL CONSUMPTION MULTIPLIER (GASOLINE)</t>
  </si>
  <si>
    <t>FUEL CONSUMPTION MULTIPLIER (LPG)</t>
  </si>
  <si>
    <t>MACHINERY LABOR MULTIPLIER</t>
  </si>
  <si>
    <t>UNALLOCATED LABOR HOURS MULTIPLIER</t>
  </si>
  <si>
    <t>INTEREST ON OPERATIONAL CAPITAL (%)</t>
  </si>
  <si>
    <t>GENERAL OVERHEAD RATE (%)</t>
  </si>
  <si>
    <t>OATS</t>
  </si>
  <si>
    <t>BARLEY</t>
  </si>
  <si>
    <t>TOBACCO</t>
  </si>
  <si>
    <t>THOU.</t>
  </si>
  <si>
    <t>CORN</t>
  </si>
  <si>
    <t>COTTON</t>
  </si>
  <si>
    <t>PEANUTS</t>
  </si>
  <si>
    <t>PEACH</t>
  </si>
  <si>
    <t>EACH</t>
  </si>
  <si>
    <t>BELL PEPPERS</t>
  </si>
  <si>
    <t>BROCCOLI</t>
  </si>
  <si>
    <t>COLLARDS</t>
  </si>
  <si>
    <t>CUCUMBER</t>
  </si>
  <si>
    <t>PICKELS</t>
  </si>
  <si>
    <t>GREEN ONIONS</t>
  </si>
  <si>
    <t>GREENS</t>
  </si>
  <si>
    <t>LIMA BEANS</t>
  </si>
  <si>
    <t>OKRA</t>
  </si>
  <si>
    <t>SOUTHERN PEAS</t>
  </si>
  <si>
    <t>SNAP BEANS</t>
  </si>
  <si>
    <t>SQUASH, YELLOW</t>
  </si>
  <si>
    <t>SWEET POTATOES</t>
  </si>
  <si>
    <t>TOMATOES</t>
  </si>
  <si>
    <t>CANTALOUPES</t>
  </si>
  <si>
    <t>WATERMELONS - PLASTIC</t>
  </si>
  <si>
    <t>WATERMELONS - BARE GR.</t>
  </si>
  <si>
    <t>FERTILIZER &amp; LIME</t>
  </si>
  <si>
    <t>5-10-10</t>
  </si>
  <si>
    <t>TON</t>
  </si>
  <si>
    <t>10-10-10</t>
  </si>
  <si>
    <t>0-10-30</t>
  </si>
  <si>
    <t>30% NITROGEN SOLUTION</t>
  </si>
  <si>
    <t>33.5% AMMONIUM NITRATE</t>
  </si>
  <si>
    <t>18-46-0 DAP</t>
  </si>
  <si>
    <t>LIME BULK</t>
  </si>
  <si>
    <t>LIME SPREAD</t>
  </si>
  <si>
    <t>GRAIN SORGHUM</t>
  </si>
  <si>
    <t>CABBAGE - FALL</t>
  </si>
  <si>
    <t>CABBAGE - SPRING</t>
  </si>
  <si>
    <t>PRICE FOR</t>
  </si>
  <si>
    <t>BUDGET</t>
  </si>
  <si>
    <t>BUDGET UNIT</t>
  </si>
  <si>
    <t>LBS</t>
  </si>
  <si>
    <t>CWT</t>
  </si>
  <si>
    <t xml:space="preserve">3. INCOME ABOVE VARIABLE COSTS: </t>
  </si>
  <si>
    <t>SOYBEANS</t>
  </si>
  <si>
    <t>VEGETABLE &amp; FRUIT SEED</t>
  </si>
  <si>
    <t xml:space="preserve"> BULK BARN</t>
  </si>
  <si>
    <t xml:space="preserve"> GREENHOUSE</t>
  </si>
  <si>
    <t>MAR</t>
  </si>
  <si>
    <t>JUL</t>
  </si>
  <si>
    <t>SQUADRON</t>
  </si>
  <si>
    <t>LORSBAN 4E</t>
  </si>
  <si>
    <t>SUCKER CONTROL:</t>
  </si>
  <si>
    <t>HERBICIDES &amp; FUNGICIDES:</t>
  </si>
  <si>
    <t>INSECTICIDES &amp; NEMATICIDES:</t>
  </si>
  <si>
    <t>7,8&amp;9</t>
  </si>
  <si>
    <t>WARRIOR T</t>
  </si>
  <si>
    <t xml:space="preserve">                        CHEMICAL USE ASSUMPTIONS FOR MACHINE HARVEST TOBACCO</t>
  </si>
  <si>
    <t>MANUFACTURER</t>
  </si>
  <si>
    <t>2,4-D</t>
  </si>
  <si>
    <t xml:space="preserve">   OPERATION  </t>
  </si>
  <si>
    <t>SOYBEANS-RR (TEC. FEE INCLUDED)</t>
  </si>
  <si>
    <t>COTTON-RR</t>
  </si>
  <si>
    <t>COTTON-BT</t>
  </si>
  <si>
    <t>CAPAROL 4L</t>
  </si>
  <si>
    <t>EVIK DF</t>
  </si>
  <si>
    <t>COST TO SPREAD 1 TN ON AN ACRE</t>
  </si>
  <si>
    <t>15-0-14</t>
  </si>
  <si>
    <t>SOLUBOR</t>
  </si>
  <si>
    <t>SUCKER CON.</t>
  </si>
  <si>
    <t>AATREX 4L</t>
  </si>
  <si>
    <t>GRAMOXONE EXTRA</t>
  </si>
  <si>
    <t>PER ACRE MACHINERY AND LABOR REQUIREMENTS FOR MACHINE HARVEST TOBACCO</t>
  </si>
  <si>
    <t xml:space="preserve">PROVADO </t>
  </si>
  <si>
    <t>SPINTOR</t>
  </si>
  <si>
    <t>PHASER</t>
  </si>
  <si>
    <t>PENNCAP M</t>
  </si>
  <si>
    <t>BAYTHROID</t>
  </si>
  <si>
    <t>DANITOL</t>
  </si>
  <si>
    <t>AGRIMEK</t>
  </si>
  <si>
    <t xml:space="preserve">GUTHION </t>
  </si>
  <si>
    <t>IMIDAM 70W</t>
  </si>
  <si>
    <t>CARZOL SP</t>
  </si>
  <si>
    <t>SULFUR 90W</t>
  </si>
  <si>
    <t>sulfur 90%</t>
  </si>
  <si>
    <t>KARMEX DF</t>
  </si>
  <si>
    <t>SINBAR 80W</t>
  </si>
  <si>
    <t>DIMETHOATE 4E</t>
  </si>
  <si>
    <t>APOLLO</t>
  </si>
  <si>
    <t>DORMANT OIL</t>
  </si>
  <si>
    <t>dormant oil</t>
  </si>
  <si>
    <t>PEARL MILLET</t>
  </si>
  <si>
    <t>RYEGRASS (ANNUAL)</t>
  </si>
  <si>
    <t>RYE</t>
  </si>
  <si>
    <t>SORGHUM SILAGE</t>
  </si>
  <si>
    <t>NOVARTIS</t>
  </si>
  <si>
    <t>BASF</t>
  </si>
  <si>
    <t>GREAT LAKES</t>
  </si>
  <si>
    <t>VALENT</t>
  </si>
  <si>
    <t>FMC</t>
  </si>
  <si>
    <t>UNITED PHOSP.</t>
  </si>
  <si>
    <t>ISK</t>
  </si>
  <si>
    <t>NOVARTIS (-)</t>
  </si>
  <si>
    <t>DUPONT</t>
  </si>
  <si>
    <t>AGREVO</t>
  </si>
  <si>
    <t>MONSANTO</t>
  </si>
  <si>
    <t>DOW</t>
  </si>
  <si>
    <t>REMEDY</t>
  </si>
  <si>
    <t>GRAZON P+D</t>
  </si>
  <si>
    <t>30% NITROGEN SOLUTION SPREAD</t>
  </si>
  <si>
    <t>INSURANCE RATE ($/1000)</t>
  </si>
  <si>
    <t xml:space="preserve">BAHIAGRASS </t>
  </si>
  <si>
    <t>STARFIRE EC</t>
  </si>
  <si>
    <t>DUAL MAGNUM EC</t>
  </si>
  <si>
    <t>4-12-12</t>
  </si>
  <si>
    <t>3-9-18</t>
  </si>
  <si>
    <t>10-8-20</t>
  </si>
  <si>
    <t>7-0-7 (LIQ.) - SIDE DRESSING</t>
  </si>
  <si>
    <t>14-0-14 - SIDE DRESSING</t>
  </si>
  <si>
    <t>33.5% NITROGEN - SIDE DRESSING</t>
  </si>
  <si>
    <t>30% N (LIQ) - SIDE DRESSING</t>
  </si>
  <si>
    <t>6-6-18 (TOBACCO)</t>
  </si>
  <si>
    <t>15-0-14 (TOBACCO)</t>
  </si>
  <si>
    <t>DIAZINON 14G</t>
  </si>
  <si>
    <t>3-9-24</t>
  </si>
  <si>
    <t xml:space="preserve">malathion </t>
  </si>
  <si>
    <t xml:space="preserve">methyl parathion </t>
  </si>
  <si>
    <t>MOCAP 10G</t>
  </si>
  <si>
    <t>XENTARI</t>
  </si>
  <si>
    <t>M-PEDE</t>
  </si>
  <si>
    <t>SAFE-T-CIDE</t>
  </si>
  <si>
    <t>THIOLUX DF</t>
  </si>
  <si>
    <t>PURSUIT</t>
  </si>
  <si>
    <t>5-10-10 (VEGETABLES)</t>
  </si>
  <si>
    <t>10-10-10 (VEGETABLES)</t>
  </si>
  <si>
    <t>24.5% N (LIQ) - SIDE DRESSING</t>
  </si>
  <si>
    <t>30% N (LIQ) - SIDE DRESSING (VEG.)</t>
  </si>
  <si>
    <t>33.5% N - SIDE DRESSING (VEG.)</t>
  </si>
  <si>
    <t>12-24-18</t>
  </si>
  <si>
    <t>8-0-8 (LIQ.)</t>
  </si>
  <si>
    <t>TOPSIN 70WP</t>
  </si>
  <si>
    <t>CONFIRM</t>
  </si>
  <si>
    <t>PROCLAIM</t>
  </si>
  <si>
    <t>ALANAP</t>
  </si>
  <si>
    <t>RIDOMIL GOLD PC</t>
  </si>
  <si>
    <t xml:space="preserve">The above listed chemicals are examples and do not imply exclusive recommendations by Clemson University. The "Pest Management </t>
  </si>
  <si>
    <t>2x JUL</t>
  </si>
  <si>
    <t>TRACER</t>
  </si>
  <si>
    <t>paraquat (Gramoxone Extra)</t>
  </si>
  <si>
    <t>lambda-cyhalothrin (Karate-Z)</t>
  </si>
  <si>
    <t>TELONE II</t>
  </si>
  <si>
    <t>SELECT</t>
  </si>
  <si>
    <t>ROW CROP SEED</t>
  </si>
  <si>
    <t>CORN-RR (TEC. FEE INCLUDED)</t>
  </si>
  <si>
    <t>100% CALCIUM NITRATE</t>
  </si>
  <si>
    <t>60% MURATE OF POTASH</t>
  </si>
  <si>
    <t>100% SULFUR</t>
  </si>
  <si>
    <t>FORAGE SEED</t>
  </si>
  <si>
    <t>*** ESTIMATED PORTION OF GROWERS ANNUAL DEPRICIATION CHARGE.</t>
  </si>
  <si>
    <t xml:space="preserve">** PLEASE NOTE: THIS BUDGET IS FOR PLANNING PURPOSES ONLY. </t>
  </si>
  <si>
    <t xml:space="preserve">   VARIABLE COSTS</t>
  </si>
  <si>
    <t xml:space="preserve">   TOTAL COSTS</t>
  </si>
  <si>
    <t xml:space="preserve">                                                     ------------------------------------------- PRICE ($/lbs.) --------------------------------------------</t>
  </si>
  <si>
    <t>PRICE 1 *</t>
  </si>
  <si>
    <t>ORTHENE 75S</t>
  </si>
  <si>
    <t>FINISH6</t>
  </si>
  <si>
    <t>GUARDSMAN</t>
  </si>
  <si>
    <t>BASIS GOLD</t>
  </si>
  <si>
    <t>FIRSTRATE</t>
  </si>
  <si>
    <t>BANVEL</t>
  </si>
  <si>
    <t>PRICE 1 **</t>
  </si>
  <si>
    <t xml:space="preserve">CLOVER </t>
  </si>
  <si>
    <t xml:space="preserve">DUAL II </t>
  </si>
  <si>
    <t>glyphosate (Roundup ultra)</t>
  </si>
  <si>
    <t>STRATEGO</t>
  </si>
  <si>
    <t xml:space="preserve">SCOUT </t>
  </si>
  <si>
    <t>QUADRIS</t>
  </si>
  <si>
    <t>CANCELLED</t>
  </si>
  <si>
    <t>azoxystrobin (Abound)</t>
  </si>
  <si>
    <t>streptomycin (Ag Strep)</t>
  </si>
  <si>
    <t>al tris phosphonate (Aliette)</t>
  </si>
  <si>
    <t>permethrin (Ambush)</t>
  </si>
  <si>
    <t>cypermethrin (Ammo)</t>
  </si>
  <si>
    <t>esfenvalerate (Asana)</t>
  </si>
  <si>
    <t>atrazine (Aatrex)</t>
  </si>
  <si>
    <t>propiconazole (Banner)</t>
  </si>
  <si>
    <t>bentazon (Basagran)</t>
  </si>
  <si>
    <t>dazomet (Basamid)</t>
  </si>
  <si>
    <t>triadimefon (Bayleton)</t>
  </si>
  <si>
    <t>benomyl (Benlate)</t>
  </si>
  <si>
    <t>dicrotophos (Bidrin)</t>
  </si>
  <si>
    <t>cyanazine (Bladex)</t>
  </si>
  <si>
    <t>acifluorfen (Blazer)</t>
  </si>
  <si>
    <t>copper hydroxide (Blue Shield)</t>
  </si>
  <si>
    <t>chlorothalonil (Bravo)</t>
  </si>
  <si>
    <t>methyl bromide 98% (Bromo-O-Gas)</t>
  </si>
  <si>
    <t>chloropicrin (Chlor-O-Pic)</t>
  </si>
  <si>
    <t>chlorimuron (Classic)</t>
  </si>
  <si>
    <t>lactofen (Cobra)</t>
  </si>
  <si>
    <t>clomazone (Command)</t>
  </si>
  <si>
    <t>fluometuron (Cotoran)</t>
  </si>
  <si>
    <t>terbufos (Counter)</t>
  </si>
  <si>
    <t>profenofos (Curacron)</t>
  </si>
  <si>
    <t>ethalfluralin (Curbit)</t>
  </si>
  <si>
    <t>dimethoate (Cygon)</t>
  </si>
  <si>
    <t>chlorthal-dimethyl (Dacthal)</t>
  </si>
  <si>
    <t>napropamide (Devrinol)</t>
  </si>
  <si>
    <t>diazinon (Diazinon)</t>
  </si>
  <si>
    <t>naled (Dibrom)</t>
  </si>
  <si>
    <t>bacillus thuringiensis (Dipel)</t>
  </si>
  <si>
    <t>disulfoton (Disyston)</t>
  </si>
  <si>
    <t>thidiazuron (Dropp)</t>
  </si>
  <si>
    <t>tribufos (Folex)</t>
  </si>
  <si>
    <t>tebuconazole(Folicur)</t>
  </si>
  <si>
    <t>carbofuran (Furadan)</t>
  </si>
  <si>
    <t>fluazifop (Fusilade)</t>
  </si>
  <si>
    <t>diclofop-methyl (Hoelon)</t>
  </si>
  <si>
    <t>fenbuconazole (Indar)</t>
  </si>
  <si>
    <t>cupric hydroxide (Kocide)</t>
  </si>
  <si>
    <t>methomyl (Lannate)</t>
  </si>
  <si>
    <t>thiodicarb (Larvin)</t>
  </si>
  <si>
    <t>alachlor (Lasso)</t>
  </si>
  <si>
    <t>metribuzin (Lexone)</t>
  </si>
  <si>
    <t>linuron (Lorox)</t>
  </si>
  <si>
    <t>chlorpyrifos (Lorsban)</t>
  </si>
  <si>
    <t>mancozeb (Manex)</t>
  </si>
  <si>
    <t>mancozeb (Manzate)</t>
  </si>
  <si>
    <t>ethoprop (Mocap)</t>
  </si>
  <si>
    <t>methamidophos (Monitor)</t>
  </si>
  <si>
    <t>oxytetracycline (Myco-Shield)</t>
  </si>
  <si>
    <t>fenamiphos (Nemacur)</t>
  </si>
  <si>
    <t>myclobutanil (Nova)</t>
  </si>
  <si>
    <t>octanol and 1 decanol (Off Shoot)</t>
  </si>
  <si>
    <t>propiconazole (Orbit)</t>
  </si>
  <si>
    <t>acephate (Orthene)</t>
  </si>
  <si>
    <t>mepiquat chloride (Pix)</t>
  </si>
  <si>
    <t>sethoxydim (Poast)</t>
  </si>
  <si>
    <t>metiram (Polyram)</t>
  </si>
  <si>
    <t>permethrin (Pounce)</t>
  </si>
  <si>
    <t>bensulide (Prefar)</t>
  </si>
  <si>
    <t>ethephon (Prep)</t>
  </si>
  <si>
    <t>flumetralin (Prime)</t>
  </si>
  <si>
    <t>simazine (Princep)</t>
  </si>
  <si>
    <t>pendimethalin (Prowl)</t>
  </si>
  <si>
    <t>metalaxyl (Ridomil)</t>
  </si>
  <si>
    <t>vinclozolin (Ronilan)</t>
  </si>
  <si>
    <t>iprodione (Rovral)</t>
  </si>
  <si>
    <t>maleic hydrazide (Royal)</t>
  </si>
  <si>
    <t>fenarimol (Rubigan)</t>
  </si>
  <si>
    <t>imazaquin (Scepter)</t>
  </si>
  <si>
    <t>tralomethrin (Scout)</t>
  </si>
  <si>
    <t>carbaryl (Sevin)</t>
  </si>
  <si>
    <t>ethalfluralin (Sonalan)</t>
  </si>
  <si>
    <t>pyrithiobac (Staple)</t>
  </si>
  <si>
    <t>oryzalin (Surflan)</t>
  </si>
  <si>
    <t>butylate (Sutan)</t>
  </si>
  <si>
    <t>dodine (Syllit)</t>
  </si>
  <si>
    <t>dichloropropene (Telone II)</t>
  </si>
  <si>
    <t>dichloropropene+chloropicrin (Telone C17)</t>
  </si>
  <si>
    <t>aldicarb (Temik)</t>
  </si>
  <si>
    <t>endosulfan (Thiodan)</t>
  </si>
  <si>
    <t>propiconazole (Tilt)</t>
  </si>
  <si>
    <t>thiophanate-methyl (Topsin)</t>
  </si>
  <si>
    <t>metam-sodium (Vapam)</t>
  </si>
  <si>
    <t>vernolate (Vernam)</t>
  </si>
  <si>
    <t>pendimethalin+imazaquin (Squadron)</t>
  </si>
  <si>
    <t>lambda-cyhalothrin (Warrior T)</t>
  </si>
  <si>
    <t>prometryn (Caparol)</t>
  </si>
  <si>
    <t>ametryn (Evik)</t>
  </si>
  <si>
    <t>imidacloprid (Provado)</t>
  </si>
  <si>
    <t>spinosad (Spintor)</t>
  </si>
  <si>
    <t>endosulfan (Phaser)</t>
  </si>
  <si>
    <t>methyl-parathion (Penncap M)</t>
  </si>
  <si>
    <t>cyfluthrin (Baythroid)</t>
  </si>
  <si>
    <t>fenpropathrin (Danitol)</t>
  </si>
  <si>
    <t>abamectin (Agrimek)</t>
  </si>
  <si>
    <t>azinphosmethyl (Guthion)</t>
  </si>
  <si>
    <t>phosmet (Imidam)</t>
  </si>
  <si>
    <t>formetanate hydrochloride (Carzol)</t>
  </si>
  <si>
    <t>diuron (Karmex)</t>
  </si>
  <si>
    <t>terbacil (Sinbar)</t>
  </si>
  <si>
    <t>clofantezine (Apollo)</t>
  </si>
  <si>
    <t>trichlopyr (Remedy)</t>
  </si>
  <si>
    <t>picloram+2,4-D (Grazon P+D)</t>
  </si>
  <si>
    <t>paraquat (Starfire)</t>
  </si>
  <si>
    <t>bacillus thuringiensis (Xentari)</t>
  </si>
  <si>
    <t>insecticidal soap (M-Pede)</t>
  </si>
  <si>
    <t>horticultural oil (Safe-T-Cide)</t>
  </si>
  <si>
    <t>sulfur 80% (Thiolux)</t>
  </si>
  <si>
    <t>imazethapyr (Pursuit)</t>
  </si>
  <si>
    <t>tebufenozide (Confirm)</t>
  </si>
  <si>
    <t>emamectin benzoate (Proclaim)</t>
  </si>
  <si>
    <t>mefenoxam-PCNB (Ridomil)</t>
  </si>
  <si>
    <t>clethodim (Select)</t>
  </si>
  <si>
    <t>spinosad (Tracer)</t>
  </si>
  <si>
    <t>ethephon+cyclanilide (Finish6)</t>
  </si>
  <si>
    <t>dimethenamid+atrazine (Guardsman)</t>
  </si>
  <si>
    <t>nicosulfuron+rimsulfuron+atrazine (Basis Gold)</t>
  </si>
  <si>
    <t>chloransulam methyl (Firstrate)</t>
  </si>
  <si>
    <t>dicamba (Banvel)</t>
  </si>
  <si>
    <t>azoxystrobin (Quadris)</t>
  </si>
  <si>
    <t>THIMET</t>
  </si>
  <si>
    <t>phorate (Thimet)</t>
  </si>
  <si>
    <t>trifloxystrobin+propiconazole (Stratego)</t>
  </si>
  <si>
    <t>2, 4-D AMINE</t>
  </si>
  <si>
    <t>2, 4-DB 200</t>
  </si>
  <si>
    <t>MSMA 6.6</t>
  </si>
  <si>
    <t>ROUNDUP WEATHERMAX</t>
  </si>
  <si>
    <t>HEADLINE</t>
  </si>
  <si>
    <t>pyraclostrobin (Headline)</t>
  </si>
  <si>
    <t>VALOR</t>
  </si>
  <si>
    <t>flumioxazin (Valor)</t>
  </si>
  <si>
    <t>BICEP II MAGNUM</t>
  </si>
  <si>
    <t>s-metolachlor+atrazine (Bicep)</t>
  </si>
  <si>
    <t>CANOPY SP 58.3 WDG</t>
  </si>
  <si>
    <t>metribuzin+chlorimuron (Canopy SP)</t>
  </si>
  <si>
    <t>trifluralin (Treflan EC)</t>
  </si>
  <si>
    <t>glyphosate (Roundup WeatherMax)</t>
  </si>
  <si>
    <t>fosetyl-Al (Aliette)</t>
  </si>
  <si>
    <t>TALL FESCUE</t>
  </si>
  <si>
    <t>ALFALFA</t>
  </si>
  <si>
    <t xml:space="preserve"> BREAK-EVEN YIELD</t>
  </si>
  <si>
    <t>BREAK-EVEN PRICE</t>
  </si>
  <si>
    <t>COUNTER 15G L&amp;L</t>
  </si>
  <si>
    <t>APOGEE</t>
  </si>
  <si>
    <t>prohexadione calcium (Apogee)</t>
  </si>
  <si>
    <t>IAVC MINUS FIXED COST AT DIFFERING YIELDS AND PRICES</t>
  </si>
  <si>
    <t>NET RETURNS TO RISK AT DIFFERING YIELDS AND PRICES</t>
  </si>
  <si>
    <t>INOCULANT</t>
  </si>
  <si>
    <t>**** TOBACCO ASSOCIATES AND RESEARCH ASSESSMENT</t>
  </si>
  <si>
    <t>AMISTAR</t>
  </si>
  <si>
    <t>azoxystrobin (Amistar)</t>
  </si>
  <si>
    <t>MUSTANG MAX</t>
  </si>
  <si>
    <t>z-cypermethrin (Mustang Max)</t>
  </si>
  <si>
    <t>OSPREY</t>
  </si>
  <si>
    <t>BAYER</t>
  </si>
  <si>
    <t>mesosulfuron-methyl (Osprey)</t>
  </si>
  <si>
    <t>GAUCHO</t>
  </si>
  <si>
    <t>imidacloprid (Gaucho) - Seed Treatment</t>
  </si>
  <si>
    <t>SPARTAN 4F</t>
  </si>
  <si>
    <t>Sulfentrazone (Spartan)</t>
  </si>
  <si>
    <t>SWEET CORN - local</t>
  </si>
  <si>
    <t xml:space="preserve">SWEET CORN - Fresh </t>
  </si>
  <si>
    <t>CALCIUM NITRATE 15.5-0-0</t>
  </si>
  <si>
    <t>SYNGENTA</t>
  </si>
  <si>
    <t>ADMIRE PRO SC43</t>
  </si>
  <si>
    <t>MICROFLO</t>
  </si>
  <si>
    <t>AMVAC</t>
  </si>
  <si>
    <t>AIM 2EC</t>
  </si>
  <si>
    <t>carfentrazone (Aim)</t>
  </si>
  <si>
    <t>CADRE 2L</t>
  </si>
  <si>
    <t>PROVOST</t>
  </si>
  <si>
    <t>prothioconazole+tebuconazole (Provost)</t>
  </si>
  <si>
    <t>ARTISAN</t>
  </si>
  <si>
    <t>flutolanil+propiconazole (Artisan)</t>
  </si>
  <si>
    <t>NICHINO</t>
  </si>
  <si>
    <t>MANGANESE SULFATE</t>
  </si>
  <si>
    <t>thifensulfuron+tribenuron (Harmony GT 75DF)</t>
  </si>
  <si>
    <t>LANNATE 2.4 LV</t>
  </si>
  <si>
    <t>DICOFOL</t>
  </si>
  <si>
    <t xml:space="preserve">dicofol </t>
  </si>
  <si>
    <t xml:space="preserve">  HARVESTING LABOR</t>
  </si>
  <si>
    <t>imazapic (Cadre)</t>
  </si>
  <si>
    <t>THIODAN 3EC / THIONEX 3EC</t>
  </si>
  <si>
    <t>TREFLAN EC / DINTEC 4L</t>
  </si>
  <si>
    <t>napthalam (Alanap)</t>
  </si>
  <si>
    <t>BRO-MEAN C50</t>
  </si>
  <si>
    <t>methyl bromide+chloropicrin (Bro-Mean C-50)</t>
  </si>
  <si>
    <t xml:space="preserve">BIFENTHRIN </t>
  </si>
  <si>
    <t>bifenthrin</t>
  </si>
  <si>
    <t>SANDEA</t>
  </si>
  <si>
    <t>halosulfuron-methyl (Sandae)</t>
  </si>
  <si>
    <t>STRATEGY</t>
  </si>
  <si>
    <t>clomazone + ethalfluralin (Strategy)</t>
  </si>
  <si>
    <t>FLEXTAR 1.88SC</t>
  </si>
  <si>
    <t>fomesafen (Flextar)</t>
  </si>
  <si>
    <t>RADIANT</t>
  </si>
  <si>
    <t>spinetoram (Radiant)</t>
  </si>
  <si>
    <t>CORAGEN</t>
  </si>
  <si>
    <t>rynaxapyr (Coragen)</t>
  </si>
  <si>
    <t>PROPHYT</t>
  </si>
  <si>
    <t>potassium phosphite (Prophyt)</t>
  </si>
  <si>
    <t>ACTARA</t>
  </si>
  <si>
    <t>thiamethoxam (Actara)</t>
  </si>
  <si>
    <t>SENCOR-Tricor</t>
  </si>
  <si>
    <t>metribuzin (Sencor)</t>
  </si>
  <si>
    <t>PLATINUM</t>
  </si>
  <si>
    <t>thiamethoxam (Platinum)</t>
  </si>
  <si>
    <t>VENOM</t>
  </si>
  <si>
    <t>dinotefuran (Venom)</t>
  </si>
  <si>
    <t>GLYPHOSATE</t>
  </si>
  <si>
    <t>glyphosate (generic)</t>
  </si>
  <si>
    <t>MEPIQUAT CHLORIDE</t>
  </si>
  <si>
    <t>mepiquat chloride (generic)</t>
  </si>
  <si>
    <t>REFLEX</t>
  </si>
  <si>
    <t>COTTON-B2RF OR WRF</t>
  </si>
  <si>
    <t>ESTIMATED COSTS AND RETURNS PER ACRE</t>
  </si>
  <si>
    <t>1=DIES</t>
  </si>
  <si>
    <t>TRAC</t>
  </si>
  <si>
    <t xml:space="preserve"> WIDTH</t>
  </si>
  <si>
    <t>HOURS</t>
  </si>
  <si>
    <t>YEARS</t>
  </si>
  <si>
    <t>DEPRE-</t>
  </si>
  <si>
    <t>INSURAN-</t>
  </si>
  <si>
    <t>PURCHASE</t>
  </si>
  <si>
    <t>2=GAS</t>
  </si>
  <si>
    <t>-TOR</t>
  </si>
  <si>
    <t>OR</t>
  </si>
  <si>
    <t>ANNUAL</t>
  </si>
  <si>
    <t>OF</t>
  </si>
  <si>
    <t>FIELD</t>
  </si>
  <si>
    <t>SALVAGE</t>
  </si>
  <si>
    <t>CIATION</t>
  </si>
  <si>
    <t>CE</t>
  </si>
  <si>
    <t>TAXES</t>
  </si>
  <si>
    <t>INTEREST</t>
  </si>
  <si>
    <t>REPAIRS</t>
  </si>
  <si>
    <t>FUEL</t>
  </si>
  <si>
    <t>LUBE</t>
  </si>
  <si>
    <t>%</t>
  </si>
  <si>
    <t>PRICE 1</t>
  </si>
  <si>
    <t>3=LP</t>
  </si>
  <si>
    <t>USED</t>
  </si>
  <si>
    <t>HP</t>
  </si>
  <si>
    <t>SPEED</t>
  </si>
  <si>
    <t>USE</t>
  </si>
  <si>
    <t>LIFE</t>
  </si>
  <si>
    <t>EFFIC.</t>
  </si>
  <si>
    <t>RC1</t>
  </si>
  <si>
    <t>RC2</t>
  </si>
  <si>
    <t>RC3</t>
  </si>
  <si>
    <t>RFV1</t>
  </si>
  <si>
    <t>RFV2</t>
  </si>
  <si>
    <t>/ HOUR</t>
  </si>
  <si>
    <t>COMBINE</t>
  </si>
  <si>
    <t>COMBINE LARGE</t>
  </si>
  <si>
    <t>COMBINE LARGE W/ HEADER</t>
  </si>
  <si>
    <t>COMBINE W/ HEADER</t>
  </si>
  <si>
    <t>COTTON PICKER 2-ROW</t>
  </si>
  <si>
    <t>COTTON PICKER 4-ROW</t>
  </si>
  <si>
    <t>COTTON FINGER STRIPPER 4-ROW</t>
  </si>
  <si>
    <t>HIBOY</t>
  </si>
  <si>
    <t>TOBACCO COMBINE 1-ROW</t>
  </si>
  <si>
    <t>TOBACCO COMBINE 2-ROW</t>
  </si>
  <si>
    <t>TRACTOR 50-60 HP (1)</t>
  </si>
  <si>
    <t>TRACTOR 70-80 HP (2)</t>
  </si>
  <si>
    <t>TRACTOR 95-105 HP (3)</t>
  </si>
  <si>
    <t>TRACTOR 115-125 HP (4)</t>
  </si>
  <si>
    <t>TRACTOR 135-145 HP (5)</t>
  </si>
  <si>
    <t>TRACTOR 155-165 HP (6)</t>
  </si>
  <si>
    <t>TRACTOR 175-185 HP (7)</t>
  </si>
  <si>
    <t>TRACTOR 195-205 HP (8)</t>
  </si>
  <si>
    <t>VEGETABLE PICKER  4-ROW</t>
  </si>
  <si>
    <t>VEGETABLE PICKER  1-ROW</t>
  </si>
  <si>
    <t>4-BOTTOM FLIP PLOW</t>
  </si>
  <si>
    <t>5-BOTTOM PLOW</t>
  </si>
  <si>
    <t>BALE WAGON</t>
  </si>
  <si>
    <t>CHISEL PLOW 12'</t>
  </si>
  <si>
    <t>CHISEL PLOW 14'</t>
  </si>
  <si>
    <t>CHISEL PLOW 18'</t>
  </si>
  <si>
    <t>COTTON TRAILER</t>
  </si>
  <si>
    <t>CULTIPACKER</t>
  </si>
  <si>
    <t>CULTIVATOR 1-ROW</t>
  </si>
  <si>
    <t>CULTIVATOR 2-ROW</t>
  </si>
  <si>
    <t>CULTIVATOR 4-ROW</t>
  </si>
  <si>
    <t>CULTIVATOR 6-ROW</t>
  </si>
  <si>
    <t>CULTIVATOR W/ HERB.&amp;INSEC. 6-ROW</t>
  </si>
  <si>
    <t>CULTIVATOR W/ HERBICIDE 6-ROW</t>
  </si>
  <si>
    <t>CULTIVATOR W/ INSECTICIDE 6-ROW</t>
  </si>
  <si>
    <t>CULTIVATOR W/ SPRAYER 6-ROW</t>
  </si>
  <si>
    <t>DIGGER INVERTER 2-ROW</t>
  </si>
  <si>
    <t>DIGGER INVERTER 6-ROW</t>
  </si>
  <si>
    <t>DISK W/ SPRAYER 16'</t>
  </si>
  <si>
    <t>DISK W/ SPRAYER 21'</t>
  </si>
  <si>
    <t>FERTILIZER SPREADER</t>
  </si>
  <si>
    <t>FUMIGATION UNIT</t>
  </si>
  <si>
    <t>GRAIN DRILL 16'</t>
  </si>
  <si>
    <t>GRAIN DRILL 8'</t>
  </si>
  <si>
    <t>GRAIN DRILL 13'  W/ CULTIPACKER</t>
  </si>
  <si>
    <t>GRAIN DRILL 13'  W/ FERTILIZER</t>
  </si>
  <si>
    <t>GRANULAR APPLICATOR</t>
  </si>
  <si>
    <t>HEAVY DISK 13'</t>
  </si>
  <si>
    <t>HEAVY DISK 14'</t>
  </si>
  <si>
    <t>HEAVY DISK 16'</t>
  </si>
  <si>
    <t>HERBICIDE APPLICATOR 12'</t>
  </si>
  <si>
    <t>HERBICIDE APPLICATOR 16'</t>
  </si>
  <si>
    <t>LISTER</t>
  </si>
  <si>
    <t>MOWER-CONDITIONER</t>
  </si>
  <si>
    <t>MULCH BEDDER-LAYER</t>
  </si>
  <si>
    <t>MULCH LAYER</t>
  </si>
  <si>
    <t>NO-TILL DRILL 12'</t>
  </si>
  <si>
    <t>NO-TILL DRILL 16'</t>
  </si>
  <si>
    <t>NURSE TANK ON PICK-UP</t>
  </si>
  <si>
    <t>PEANUT COMBINE 2-ROW</t>
  </si>
  <si>
    <t>PEANUT COMBINE 4-ROW</t>
  </si>
  <si>
    <t>PEANUT PLANTER</t>
  </si>
  <si>
    <t>PRECISION PLANTER 4-ROW</t>
  </si>
  <si>
    <t>PLANTER 1-ROW</t>
  </si>
  <si>
    <t>PLANTER 2-ROW</t>
  </si>
  <si>
    <t>PLANTER 4-ROW</t>
  </si>
  <si>
    <t>PLANTER 6-ROW</t>
  </si>
  <si>
    <t>PLANTER 8-ROW</t>
  </si>
  <si>
    <t>PLANTER NO-TILL 4-ROW</t>
  </si>
  <si>
    <t>PLANTER NO-TILL 6-ROW</t>
  </si>
  <si>
    <t>PLANTER NO-TILL 8-ROW</t>
  </si>
  <si>
    <t>PLANTER NO-TILL W/ HERBICIDE 4-ROW</t>
  </si>
  <si>
    <t>PLANTER NO-TILL W/ SPRAYER 4-ROW</t>
  </si>
  <si>
    <t>PLANTER W/ FERTILIZER 6-ROW</t>
  </si>
  <si>
    <t>PLANTER W/ HERBICIDE 6-ROW</t>
  </si>
  <si>
    <t>PLANTER W/ SPRAYER 4-ROW</t>
  </si>
  <si>
    <t>PLANTER W/ SPRAYER 6-ROW</t>
  </si>
  <si>
    <t>POTATO DIGGER (SWEET)</t>
  </si>
  <si>
    <t>POTATO HARVESTER</t>
  </si>
  <si>
    <t>POTATO PLANTER</t>
  </si>
  <si>
    <t>POTATO PLANTER (SWEET)</t>
  </si>
  <si>
    <t>PTO AIR BLAST SPRAYER (500)</t>
  </si>
  <si>
    <t>PTO BALER</t>
  </si>
  <si>
    <t>ROUND BALER</t>
  </si>
  <si>
    <t>SMALL BALER</t>
  </si>
  <si>
    <t>PULL TYPE SPRAYER</t>
  </si>
  <si>
    <t>RAKE</t>
  </si>
  <si>
    <t>ROLLING CULTIVATOR 6-ROW</t>
  </si>
  <si>
    <t>ROTARY MOWER 7'</t>
  </si>
  <si>
    <t>ROTOVATOR</t>
  </si>
  <si>
    <t>SICKLE MOWER</t>
  </si>
  <si>
    <t>SIDEDRESSER 2-ROW</t>
  </si>
  <si>
    <t>SILAGE BLOWER</t>
  </si>
  <si>
    <t>SILAGE CHOPPER</t>
  </si>
  <si>
    <t>SILAGE CHOPPER &amp; WAGON</t>
  </si>
  <si>
    <t>SILAGE WAGON</t>
  </si>
  <si>
    <t>SPIKE HARROW</t>
  </si>
  <si>
    <t>ORCHARD SPRAYER</t>
  </si>
  <si>
    <t>SPRING TOOTH</t>
  </si>
  <si>
    <t>SUBSOILER BEDDER 2-ROW</t>
  </si>
  <si>
    <t>SUBSOILER-BEDDER 4-ROW</t>
  </si>
  <si>
    <t>SUBSOILER-BEDDER 6-ROW</t>
  </si>
  <si>
    <t>SUBSOILER-PLANTER W/SPRAYER 4-ROW</t>
  </si>
  <si>
    <t>SUBSOILER-PLANTER W/SPRAYER 6-ROW</t>
  </si>
  <si>
    <t>SUBSOILER-PLANTER 6-ROW</t>
  </si>
  <si>
    <t>SUPER BEDDER</t>
  </si>
  <si>
    <t>TOBACCO CULTIVATOR 1-ROW</t>
  </si>
  <si>
    <t>TOBACCO HARVESTER LOW PROFILE</t>
  </si>
  <si>
    <t>TOBACCO TOPPER 2-ROW</t>
  </si>
  <si>
    <t>TOBACCO TRAILER</t>
  </si>
  <si>
    <t>TOBACCO TRANSPLANTER 1-ROW</t>
  </si>
  <si>
    <t>TOBACCO TRANSPLANTER 2-ROW</t>
  </si>
  <si>
    <t>TOMATO TRANSPLANTER 3-ROW</t>
  </si>
  <si>
    <t>TRACTOR MTD SPRAYER</t>
  </si>
  <si>
    <t>TRACTOR MTD SPRAYER &amp; FERT.</t>
  </si>
  <si>
    <t>TRAILER 4W</t>
  </si>
  <si>
    <t>TRANSPLANTER 1-ROW</t>
  </si>
  <si>
    <t>TRANSPLANTER 2-ROW</t>
  </si>
  <si>
    <t>TRANSPLANTER 4-ROW</t>
  </si>
  <si>
    <t>TRUCK 1.5 TON</t>
  </si>
  <si>
    <t>WHIRL SEEDER</t>
  </si>
  <si>
    <t>WINDROWER</t>
  </si>
  <si>
    <t>BROADCAST DEEP TILLAGE</t>
  </si>
  <si>
    <t>COTTON MODULE BUILDER</t>
  </si>
  <si>
    <t>TEDDER</t>
  </si>
  <si>
    <t>STRIP TILL RIG</t>
  </si>
  <si>
    <t>BUSHHOG 14'</t>
  </si>
  <si>
    <t>FLAIL MOWER</t>
  </si>
  <si>
    <t>PLANTER W/ SPRAYER 8-ROW</t>
  </si>
  <si>
    <t>SUBSOILER-BEDDER 8-ROW</t>
  </si>
  <si>
    <t>DO-ALL FIELD CONDITIONER 8-ROW</t>
  </si>
  <si>
    <t>BOLL BUGGY</t>
  </si>
  <si>
    <t>FARM WAGON</t>
  </si>
  <si>
    <t>CULTIVATOR W/ HERBICIDE 8-ROW</t>
  </si>
  <si>
    <t>FRONT-END LOADER</t>
  </si>
  <si>
    <t>BELLPEPPER (30 lbs CRTN)</t>
  </si>
  <si>
    <t>BERMUDAGRASS FOR HAY (small square bales)</t>
  </si>
  <si>
    <t>BERMUDAGRASS FOR HAY (round bales)</t>
  </si>
  <si>
    <t>FALL CABBAGE (50 lbs BOX)</t>
  </si>
  <si>
    <t>SPRING CABBAGE (50 lbs BOX)</t>
  </si>
  <si>
    <t>COLLARDS (20 lbs BOX)</t>
  </si>
  <si>
    <t>FALL PICKLES (cwt) #1</t>
  </si>
  <si>
    <t>FALL PICKLES (cwt) #2</t>
  </si>
  <si>
    <t>FALL PICKLES (cwt) #3</t>
  </si>
  <si>
    <t>FALL PICKLES (cwt) #4</t>
  </si>
  <si>
    <t>SPRING PICKLES (cwt) #1</t>
  </si>
  <si>
    <t>SPRING PICKLES (cwt) #2</t>
  </si>
  <si>
    <t>SPRING PICKLES (cwt) #3</t>
  </si>
  <si>
    <t>SPRING PICKLES (cwt) #4</t>
  </si>
  <si>
    <t>SWEET CORN - FRESH (4.5 dozen per BOX)</t>
  </si>
  <si>
    <t>SWEET CORN - ROADSIDE (dozen)</t>
  </si>
  <si>
    <t>TOMATOES (25 lbs BOX)</t>
  </si>
  <si>
    <t xml:space="preserve">ESTIMATED PRICES FOR FARM CHEMICALS </t>
  </si>
  <si>
    <t>ESTIMATED PRICES FOR SEED, FERTILIZERS, AND LIME</t>
  </si>
  <si>
    <t>BARLEY (bu)</t>
  </si>
  <si>
    <t>CORN (bu)</t>
  </si>
  <si>
    <t>COTTON LINT (lb)</t>
  </si>
  <si>
    <t>COTTON SEED (lb)</t>
  </si>
  <si>
    <t>OATS (bu)</t>
  </si>
  <si>
    <t>PEANUTS (lb)</t>
  </si>
  <si>
    <t>SOYBEANS (bu)</t>
  </si>
  <si>
    <t>TOBACCO (lb)</t>
  </si>
  <si>
    <t>WHEAT (bu)</t>
  </si>
  <si>
    <t>CORN FOR SILAGE (ton)</t>
  </si>
  <si>
    <t>FALL CUCUMBER (1.1 bu - 55 lbs) SUPER SELECT CUKES</t>
  </si>
  <si>
    <t>FALL CUCUMBER (1.1 bu - 55 lbs) SELECT CUKES</t>
  </si>
  <si>
    <t>FALL CUCUMBER (1.1 bu - 55 lbs) LARGE CUKES</t>
  </si>
  <si>
    <t>FALL CUCUMBER (1.1 bu - 55 lbs) SMALL CUKES</t>
  </si>
  <si>
    <t>SPRING CUCUMBER (1.1 bu - 55 lbs) SUPER SELECT CUKES</t>
  </si>
  <si>
    <t>SPRING CUCUMBER (1.1 bu - 55 lbs) SELECT CUKES</t>
  </si>
  <si>
    <t>SPRING CUCUMBER (1.1 bu - 55 lbs) LARGE CUKES</t>
  </si>
  <si>
    <t>SPRING CUCUMBER (1.1 bu - 55 lbs) SMALL CUKES</t>
  </si>
  <si>
    <t>FESCUE TALL FOR HAY (ton)</t>
  </si>
  <si>
    <t>GREEN ONIONS  (50 lbs BOX - 4 dozen each box)</t>
  </si>
  <si>
    <t>SPRING GREENS (50 lbs BOX - ~ 1 bu)</t>
  </si>
  <si>
    <t>LIMA (ROUND) BEANS (bu ~ 32 lbs)</t>
  </si>
  <si>
    <t>OKRA (1/2 bu ~ 13 lbs)</t>
  </si>
  <si>
    <t>SMALL GRAIN FOR HAY (ton)</t>
  </si>
  <si>
    <t>SMALL GRAIN FOR SILAGE (ton)</t>
  </si>
  <si>
    <t>SNAP (GREEN) BEANS (bu - 30 lbs)</t>
  </si>
  <si>
    <t>SORGHUM FOR SILAGE (ton)</t>
  </si>
  <si>
    <t>SOUTHERN PEAS (bu - 25 lbs)</t>
  </si>
  <si>
    <t>SWEET POTATOES (1.1 bu ~ 40 lbs) US #1</t>
  </si>
  <si>
    <t>SWEET POTATOES (1.1 bu ~ 40 lbs) US #1 JUMBO</t>
  </si>
  <si>
    <t xml:space="preserve">SWEET POTATOES (1.1 bu ~ 40 lbs) US #2 </t>
  </si>
  <si>
    <t>YELLOW SQUASH (1.1 bu - 50 lbs)  #1</t>
  </si>
  <si>
    <t>YELLOW SQUASH (1.1 bu - 50 lbs)  #2</t>
  </si>
  <si>
    <t>mefenoxam (Ridomil Gold)</t>
  </si>
  <si>
    <t>imidacloprid (Admire Pro)</t>
  </si>
  <si>
    <t>JUNE</t>
  </si>
  <si>
    <t>BELT</t>
  </si>
  <si>
    <t>flubendiamide (Belt)</t>
  </si>
  <si>
    <t>46% SUPERPHOSPHATE (DAP)</t>
  </si>
  <si>
    <t>ROUNDUP POWEMAX</t>
  </si>
  <si>
    <t>FORAGE HARVESTER</t>
  </si>
  <si>
    <t>DUMP TRUCK  12 TON</t>
  </si>
  <si>
    <t>WATERMELONS (cwt - Bin 1050 lbs ~ 20 lbs each - 50 count)</t>
  </si>
  <si>
    <t>AERIAL APPLICATION ($/ACRE)</t>
  </si>
  <si>
    <t>HAULING ($/BU) - CORN, WHEAT &amp; SOYBEANS</t>
  </si>
  <si>
    <t>HAULING ($/TON) - PEANUTS</t>
  </si>
  <si>
    <t>LAND RENT - CROPS</t>
  </si>
  <si>
    <t>LAND RENT - VEGETABLES</t>
  </si>
  <si>
    <t>LAND RENT - FORAGES</t>
  </si>
  <si>
    <t>DRYING ($/BU) - CORN</t>
  </si>
  <si>
    <t>CUSTOM SPREAD ($/ACRE) - FORAGES</t>
  </si>
  <si>
    <t>TWINE ($/BALE) - FORAGES</t>
  </si>
  <si>
    <t>STICKER ($/PINT) - VEGETABLES</t>
  </si>
  <si>
    <t>HARVESTING &amp; HAULING ($/BU) - VEGETABLES</t>
  </si>
  <si>
    <t>CLEANING, SHELLING &amp; BAGGING ($/BU) - VEGETABLES</t>
  </si>
  <si>
    <t>MARKETING ($/BU) - VEGETABLES</t>
  </si>
  <si>
    <t>GRADING &amp; PACKING</t>
  </si>
  <si>
    <t>1.1 BUSHEL PAPER CONTAINER</t>
  </si>
  <si>
    <t>BULK BINS (3 YR. PRORATED)</t>
  </si>
  <si>
    <t>SCOUTING ($/ACRE)</t>
  </si>
  <si>
    <t>GINNING ($/LBS)</t>
  </si>
  <si>
    <t>CHECK-OFF FEE ($/BALE)</t>
  </si>
  <si>
    <t>HEAVY DISK 20'</t>
  </si>
  <si>
    <t>LIGHT DISKING W/ HERBICIDE 16'</t>
  </si>
  <si>
    <t>LIGHT DISKING W/ HERBICIDE 20'</t>
  </si>
  <si>
    <t>LARGE BALER</t>
  </si>
  <si>
    <t>ROTARY MOWER 14'</t>
  </si>
  <si>
    <t>TOBACCO BEDDER 4-ROW</t>
  </si>
  <si>
    <t>TOBACCO BED SHAPER 4-ROW</t>
  </si>
  <si>
    <t>TOBACCO TOPPER 4-ROW</t>
  </si>
  <si>
    <t>TOBACCO TRANSPLANTER 4-ROW</t>
  </si>
  <si>
    <t>8,9</t>
  </si>
  <si>
    <t>APR</t>
  </si>
  <si>
    <t>QUINTEC</t>
  </si>
  <si>
    <t>quinozyfen (Quintec)</t>
  </si>
  <si>
    <t>CABRIO</t>
  </si>
  <si>
    <t>pyraclostrobin (Cabrio)</t>
  </si>
  <si>
    <t>PREVICUR FLEX</t>
  </si>
  <si>
    <t>TRANSPLANT LABOR ($/hrs) - VEGETABLES</t>
  </si>
  <si>
    <t>PLASTIC MULCH - 60 INCH ($/FOOT) - VEGETABLES</t>
  </si>
  <si>
    <t>TAKE UP PLASTIC ($/ACRE) - VEGETABLES</t>
  </si>
  <si>
    <t>DRIP TAPE &amp; ACCESSORIES ($/ACRE) - VEGETABLES</t>
  </si>
  <si>
    <t>IRRIGATION, MACHINERY &amp; LABOR ($/ACRE) - VEGETABLES - 20 INCHES</t>
  </si>
  <si>
    <t>IRRIGATION - FIXED - ($/ACRE) - VEGETABLES - 20 INCHES</t>
  </si>
  <si>
    <t>IRRIGATION, MACHINERY &amp; LABOR ($/ACRE) - VEGETABLES - 17 INCHES</t>
  </si>
  <si>
    <t>IRRIGATION - FIXED - ($/ACRE) - VEGETABLES - 17 INCHES</t>
  </si>
  <si>
    <t>IRRIGATION, MACHINERY &amp; LABOR ($/ACRE) - VEGETABLES - 12 INCHES</t>
  </si>
  <si>
    <t>IRRIGATION - FIXED - ($/ACRE) - VEGETABLES - 12 INCHES</t>
  </si>
  <si>
    <t>IRRIGATION, MACHINERY &amp; LABOR ($/ACRE) - VEGETABLES - 11 INCHES</t>
  </si>
  <si>
    <t>IRRIGATION - FIXED - ($/ACRE) - VEGETABLES - 11 INCHES</t>
  </si>
  <si>
    <t>IRRIGATION, MACHINERY &amp; LABOR ($/ACRE) - VEGETABLES - 10 INCHES</t>
  </si>
  <si>
    <t>IRRIGATION - FIXED - ($/ACRE) - VEGETABLES - 10 INCHES</t>
  </si>
  <si>
    <t>IRRIGATION, MACHINERY &amp; LABOR ($/ACRE) - VEGETABLES - 8 INCHES</t>
  </si>
  <si>
    <t>IRRIGATION - FIXED - ($/ACRE) - VEGETABLES - 8 INCHES</t>
  </si>
  <si>
    <t>IRRIGATION, MACHINERY &amp; LABOR ($/ACRE) - VEGETABLES - 6 INCHES</t>
  </si>
  <si>
    <t>IRRIGATION - FIXED - ($/ACRE) - VEGETABLES - 6 INCHES</t>
  </si>
  <si>
    <t>SPREADER/STICKER  ($/ACRE) - VEGETABLES</t>
  </si>
  <si>
    <t>PACKING LABOR ($/hrs) - VEGETABLES</t>
  </si>
  <si>
    <t>MULCH REMOVAL ($/ACRE) - VEGETABLES</t>
  </si>
  <si>
    <t>IRRIGATION, MACHINERY &amp; LABOR ($/ACRE) - CORN</t>
  </si>
  <si>
    <t>IRRIGATION - FIXED - ($/ACRE) - CORN</t>
  </si>
  <si>
    <t>IRRIGATION, MACHINERY &amp; LABOR ($/ACRE) - PEANUTS</t>
  </si>
  <si>
    <t>IRRIGATION - FIXED - ($/ACRE) - PEANUTS</t>
  </si>
  <si>
    <t>CROP INSURANCE ($/ACRE) - COTTON</t>
  </si>
  <si>
    <t>CROP INSURANCE ($/ACRE) - PEANUTS</t>
  </si>
  <si>
    <t>CROP INSURANCE ($/ACRE) - TOBACCO</t>
  </si>
  <si>
    <t>HAND HOE  ($/hrs) - VEGETABLES</t>
  </si>
  <si>
    <t>HARVEST &amp; PACKING LABOR ($/box) - VEGETABLES</t>
  </si>
  <si>
    <t>FREIGHT ($/box) - VEGETABLES</t>
  </si>
  <si>
    <t>BOX - VEGETABLES</t>
  </si>
  <si>
    <t>LAND PLASTER (SPREAD) ($/TON) - PEANUTS</t>
  </si>
  <si>
    <t>CONSULTANT FEE ($/ACRE) - PEANUTS</t>
  </si>
  <si>
    <t>DRYING &amp; CLEANING  ($/TON) - PEANUTS</t>
  </si>
  <si>
    <t>STATE CHECK-OFF FEE  ($/TON) - PEANUTS</t>
  </si>
  <si>
    <t>CONTAINER per ACRE</t>
  </si>
  <si>
    <t>CURING &amp; STORAGE  ($/box) - VEGETABLES</t>
  </si>
  <si>
    <t>HARVESTING LABOR  ($/hrs) - TOBACCO</t>
  </si>
  <si>
    <t>HAULING &amp; STORAGE  ($/LB) - TOBACCO</t>
  </si>
  <si>
    <t>ASSESSMENTS****  ($/LB) - TOBACCO</t>
  </si>
  <si>
    <t>BULK BARN  ($/ACRE) - TOBACCO</t>
  </si>
  <si>
    <t>GREENHOUSE  ($/ACRE) - TOBACCO</t>
  </si>
  <si>
    <t>CURING COSTS (@$1.50/ 325 gal. + $120 Electric.) ($/LB) - TOBACCO</t>
  </si>
  <si>
    <t>GREEN LEAF BOX LOADING SYS. ($/ACRE) - TOBACCO</t>
  </si>
  <si>
    <t>PLASTIC MULCH - 60x4000x1.25mil ($/ROLL) - TOMATOE</t>
  </si>
  <si>
    <t>STAKES &amp; TWINE ($/ACRE) - TOMATOE</t>
  </si>
  <si>
    <t>HARVEST BUCKETS  ($/EACH) - TOMATOE</t>
  </si>
  <si>
    <t>HAND HARVEST  ($/BOX) - TOMATOE</t>
  </si>
  <si>
    <t>CUSTOM PACK &amp; MARKET  ($/BOX) - TOMATOE</t>
  </si>
  <si>
    <t>GRAIN SORGHUM (bu)</t>
  </si>
  <si>
    <t>INSECTICIDE/FUNG.</t>
  </si>
  <si>
    <t>CRUISERMAXX</t>
  </si>
  <si>
    <t>dsma</t>
  </si>
  <si>
    <t>DUAL MAGNUM</t>
  </si>
  <si>
    <t>eptc</t>
  </si>
  <si>
    <t>msma</t>
  </si>
  <si>
    <t xml:space="preserve">s-metolachlor </t>
  </si>
  <si>
    <t>reflex</t>
  </si>
  <si>
    <t>propamocarb hydrochloride (Previcur Flex)</t>
  </si>
  <si>
    <t>cruisermaxx</t>
  </si>
  <si>
    <t>GAVEL 75DF</t>
  </si>
  <si>
    <t>GOWAN</t>
  </si>
  <si>
    <t>zoxamide+mancozeb (Gavel 75DF)</t>
  </si>
  <si>
    <t>CANTALOUPES (cwt, 6 lbs each)</t>
  </si>
  <si>
    <t>STEER STOCKER (lb) (~750 lbs)</t>
  </si>
  <si>
    <t>STEER FEEDER CALF (lb) (~450 lbs)</t>
  </si>
  <si>
    <t>BULK BINS  ($/EACH) - TOMATOE</t>
  </si>
  <si>
    <t xml:space="preserve">  --------------- PRICE ($/lbs.) ------------------</t>
  </si>
  <si>
    <t xml:space="preserve">Yield/Ac </t>
  </si>
  <si>
    <t>Lbs</t>
  </si>
  <si>
    <t>IAVC AT DIFFERING YIELDS AND PRICES</t>
  </si>
  <si>
    <t xml:space="preserve">  -------------- PRICE ($/lbs.) --------------------</t>
  </si>
  <si>
    <t>metolachlor (Dual Magnum)</t>
  </si>
  <si>
    <t>metolachlor (Dual II)</t>
  </si>
  <si>
    <t>RANMAN</t>
  </si>
  <si>
    <t>cyazofamid (Ranman)</t>
  </si>
  <si>
    <t>ASSAIL 30SG</t>
  </si>
  <si>
    <t>UPI</t>
  </si>
  <si>
    <t>acetamiprid (Assail 30 SG)</t>
  </si>
  <si>
    <t>DACTHAL 6F</t>
  </si>
  <si>
    <t>chlorthal-dimethyl (Dacthal 6F)</t>
  </si>
  <si>
    <t>ENDURA</t>
  </si>
  <si>
    <t>boscalid (Endura)</t>
  </si>
  <si>
    <t>Handbook" must be consulted.   Production assumptions by Paul D. Peterson, Extension Specialist, (843) 307-2966, ppeters@clemson.edu.</t>
  </si>
  <si>
    <t>CLEMSON COOPERATIVE EXTENSION</t>
  </si>
  <si>
    <t>7. NET RETURNS TO RISK AND MANAGEMENT:</t>
  </si>
  <si>
    <t>BULK BARN</t>
  </si>
  <si>
    <t>* CROP INSURANCE: 70% BASED PREMIUIM. NO DISASTER SUBSIDIES.</t>
  </si>
  <si>
    <t xml:space="preserve">sexual orientation, gender identity, marital or family status and is an equal opportunity employer. </t>
  </si>
  <si>
    <t>Clemson University Cooperative Extension Service offers its programs to people of all ages, regardless of race, color, gender, religion, national origin, disability, political beliefs,</t>
  </si>
  <si>
    <t>COTTON PICKER 6-ROW (355 hp)</t>
  </si>
  <si>
    <t>COTTON PICKER 6-ROW (500 hp W/MOD)</t>
  </si>
  <si>
    <t>SELF PROPELLED SPRAYER 90'</t>
  </si>
  <si>
    <t>LAND RENT TOBACCO</t>
  </si>
  <si>
    <t>BOLL WEEVIL ERADICATION ($/acre)</t>
  </si>
  <si>
    <t>Corn Scouting $/ACRE</t>
  </si>
  <si>
    <t>Soybean Scouting $/ACRE</t>
  </si>
  <si>
    <t>Wheat Scouting $/ACRE</t>
  </si>
  <si>
    <t>Peanuts Scouting $/ACRE</t>
  </si>
  <si>
    <t>Cotton Scouting $/ACRE</t>
  </si>
  <si>
    <t>Grain Sorghum Scouting $/ACRE</t>
  </si>
  <si>
    <t>IRRIGATION - FIXED - ($/ACRE) - COTTON</t>
  </si>
  <si>
    <t>IRRIGATION,MACHINERY &amp; LABOR (4/ACRE) - COTTON - 8 INCHES</t>
  </si>
  <si>
    <t>HARMONY GT</t>
  </si>
  <si>
    <t>ORTHENE 97</t>
  </si>
  <si>
    <t>BLACKHAWK</t>
  </si>
  <si>
    <t>Blackhawk</t>
  </si>
  <si>
    <t>PREVATHON</t>
  </si>
  <si>
    <t>DUPOPNT</t>
  </si>
  <si>
    <t>Prevathon</t>
  </si>
  <si>
    <t>SIVANTO</t>
  </si>
  <si>
    <t>Sivanto</t>
  </si>
  <si>
    <t>ENLIST DUO</t>
  </si>
  <si>
    <t>2,4-D Choline and Glyphosate</t>
  </si>
  <si>
    <t>ENGENIA</t>
  </si>
  <si>
    <t>Dicamba</t>
  </si>
  <si>
    <t>XTENDIMAX</t>
  </si>
  <si>
    <t>LIBERTY</t>
  </si>
  <si>
    <t>Liberty</t>
  </si>
  <si>
    <t>SHARPEN</t>
  </si>
  <si>
    <t>ATRAZINE GENERIC</t>
  </si>
  <si>
    <t>Atrazine</t>
  </si>
  <si>
    <t>140K</t>
  </si>
  <si>
    <t>46% N - UREA</t>
  </si>
  <si>
    <t>28% N - Liquid</t>
  </si>
  <si>
    <t>Unit</t>
  </si>
  <si>
    <t>OZ.</t>
  </si>
  <si>
    <t>DRY CBD FLOWER</t>
  </si>
  <si>
    <t>CRUDE CBD OIL</t>
  </si>
  <si>
    <t>TESTS</t>
  </si>
  <si>
    <t>SEED COST</t>
  </si>
  <si>
    <t>CLONES</t>
  </si>
  <si>
    <t>GREENHOUSE COST</t>
  </si>
  <si>
    <t>YIELD, 1500 POUNDS OF DRY FLOWER PER ACRE</t>
  </si>
  <si>
    <t>LABOR</t>
  </si>
  <si>
    <t>SEED</t>
  </si>
  <si>
    <t>PEST CONTROL</t>
  </si>
  <si>
    <t>PLANTS</t>
  </si>
  <si>
    <t>ACRES</t>
  </si>
  <si>
    <t>HEMP CBD, HAND HARVEST, BULK BARN</t>
  </si>
  <si>
    <t>HEMP CBD USE, HAND HARVEST, BULK BARN</t>
  </si>
  <si>
    <r>
      <t>HEMP TESTING (</t>
    </r>
    <r>
      <rPr>
        <sz val="10"/>
        <color indexed="8"/>
        <rFont val="Arial"/>
        <family val="2"/>
      </rPr>
      <t>THC/CDB, Pesticides, Heavy Metal, Mold</t>
    </r>
    <r>
      <rPr>
        <sz val="12"/>
        <color indexed="8"/>
        <rFont val="Arial"/>
        <family val="2"/>
      </rPr>
      <t>)</t>
    </r>
  </si>
  <si>
    <t>Baling Supplies- HEMP($/LBS)</t>
  </si>
  <si>
    <t>Hemp Permit</t>
  </si>
  <si>
    <t>CURING COSTS (@$1.10/ 100 gal. + $125 Electric.) ($/LB) - HEMP</t>
  </si>
  <si>
    <t xml:space="preserve">  NITROGEN</t>
  </si>
  <si>
    <t xml:space="preserve">FERTILIZER </t>
  </si>
  <si>
    <t xml:space="preserve">  PHOSPHOROUS</t>
  </si>
  <si>
    <t xml:space="preserve">  POTASH</t>
  </si>
  <si>
    <r>
      <t xml:space="preserve">CURING COSTS </t>
    </r>
    <r>
      <rPr>
        <sz val="10"/>
        <color indexed="8"/>
        <rFont val="Arial"/>
        <family val="2"/>
      </rPr>
      <t>(@$1.10/100 gal. + $120 Electric.)</t>
    </r>
  </si>
  <si>
    <t>HAULING &amp; STORAGE</t>
  </si>
  <si>
    <t xml:space="preserve">  PLANTING LABOR</t>
  </si>
  <si>
    <t xml:space="preserve">  CULLING &amp; HAND WEEDING LABOR</t>
  </si>
  <si>
    <t>TRACTOR/MACHINERY</t>
  </si>
  <si>
    <t>INTEREST ON OP. CAP.</t>
  </si>
  <si>
    <t>TOTAL LABOR</t>
  </si>
  <si>
    <t>IRRIGATION</t>
  </si>
  <si>
    <t>BAILING SUPPLIES</t>
  </si>
  <si>
    <t>PERMIT</t>
  </si>
  <si>
    <t xml:space="preserve"> IRRIGATION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</si>
</sst>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&quot;$&quot;#,##0.000"/>
    <numFmt numFmtId="168" formatCode="0.000"/>
    <numFmt numFmtId="169" formatCode="0.00000"/>
    <numFmt numFmtId="170" formatCode="0.000000"/>
    <numFmt numFmtId="171" formatCode="&quot;$&quot;#,##0.0000"/>
    <numFmt numFmtId="172" formatCode="&quot;$&quot;#,##0.00000"/>
    <numFmt numFmtId="173" formatCode="&quot;$&quot;#,##0.000000"/>
    <numFmt numFmtId="174" formatCode="&quot;$&quot;#,##0.0000000"/>
    <numFmt numFmtId="175" formatCode="0.0000"/>
    <numFmt numFmtId="176" formatCode="&quot;$&quot;#,##0.0"/>
    <numFmt numFmtId="177" formatCode="&quot;Yield / Price&quot;"/>
    <numFmt numFmtId="178" formatCode="&quot;$&quot;#,##0.0000_);[Red]\(&quot;$&quot;#,##0.0000\)"/>
    <numFmt numFmtId="179" formatCode="&quot;$&quot;#,##0.000_);[Red]\(&quot;$&quot;#,##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"/>
    <numFmt numFmtId="185" formatCode="[$-409]dddd\,\ mmmm\ d\,\ yyyy"/>
    <numFmt numFmtId="186" formatCode="[$-409]h:mm:ss\ AM/PM"/>
  </numFmts>
  <fonts count="81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2"/>
      <color indexed="8"/>
      <name val="Arial"/>
      <family val="2"/>
    </font>
    <font>
      <b/>
      <sz val="14"/>
      <color indexed="8"/>
      <name val="Perpetua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8"/>
      <color indexed="8"/>
      <name val="Arial"/>
      <family val="2"/>
    </font>
    <font>
      <b/>
      <sz val="12"/>
      <color indexed="8"/>
      <name val="Arial Narrow"/>
      <family val="2"/>
    </font>
    <font>
      <sz val="54"/>
      <color indexed="18"/>
      <name val="Times New Roman"/>
      <family val="1"/>
    </font>
    <font>
      <sz val="12"/>
      <color indexed="18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sz val="14"/>
      <color indexed="12"/>
      <name val="Arial"/>
      <family val="2"/>
    </font>
    <font>
      <b/>
      <sz val="12"/>
      <color indexed="8"/>
      <name val="Perpetua"/>
      <family val="1"/>
    </font>
    <font>
      <sz val="11"/>
      <color indexed="8"/>
      <name val="Arial Narrow"/>
      <family val="2"/>
    </font>
    <font>
      <b/>
      <sz val="12"/>
      <color indexed="12"/>
      <name val="Arial"/>
      <family val="2"/>
    </font>
    <font>
      <b/>
      <u val="single"/>
      <sz val="12"/>
      <color indexed="16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4"/>
      <color indexed="8"/>
      <name val="Verdana"/>
      <family val="2"/>
    </font>
    <font>
      <sz val="40"/>
      <name val="Calibri"/>
      <family val="2"/>
    </font>
    <font>
      <b/>
      <sz val="14"/>
      <color indexed="20"/>
      <name val="Arial"/>
      <family val="2"/>
    </font>
    <font>
      <b/>
      <sz val="18"/>
      <color indexed="20"/>
      <name val="Times New Roman"/>
      <family val="1"/>
    </font>
    <font>
      <sz val="10"/>
      <color indexed="8"/>
      <name val="Times New Roman"/>
      <family val="1"/>
    </font>
    <font>
      <sz val="12"/>
      <color indexed="30"/>
      <name val="Arial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sz val="14"/>
      <color rgb="FF000000"/>
      <name val="Verdana"/>
      <family val="2"/>
    </font>
    <font>
      <b/>
      <sz val="14"/>
      <color rgb="FF5E1460"/>
      <name val="Arial"/>
      <family val="2"/>
    </font>
    <font>
      <b/>
      <sz val="18"/>
      <color rgb="FF5E146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66FF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59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1" applyNumberFormat="0" applyAlignment="0" applyProtection="0"/>
    <xf numFmtId="0" fontId="56" fillId="29" borderId="2" applyNumberFormat="0" applyAlignment="0" applyProtection="0"/>
    <xf numFmtId="44" fontId="1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1" borderId="1" applyNumberFormat="0" applyAlignment="0" applyProtection="0"/>
    <xf numFmtId="0" fontId="63" fillId="0" borderId="6" applyNumberFormat="0" applyFill="0" applyAlignment="0" applyProtection="0"/>
    <xf numFmtId="0" fontId="64" fillId="32" borderId="0" applyNumberFormat="0" applyBorder="0" applyAlignment="0" applyProtection="0"/>
    <xf numFmtId="0" fontId="0" fillId="33" borderId="7" applyNumberFormat="0" applyFont="0" applyAlignment="0" applyProtection="0"/>
    <xf numFmtId="0" fontId="65" fillId="28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34">
    <xf numFmtId="2" fontId="0" fillId="2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horizontal="fill"/>
    </xf>
    <xf numFmtId="2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>
      <alignment/>
    </xf>
    <xf numFmtId="2" fontId="6" fillId="0" borderId="11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2" fontId="4" fillId="0" borderId="17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2" fontId="0" fillId="0" borderId="20" xfId="0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2" fontId="0" fillId="0" borderId="14" xfId="0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Fill="1" applyBorder="1" applyAlignment="1">
      <alignment/>
    </xf>
    <xf numFmtId="2" fontId="7" fillId="0" borderId="17" xfId="0" applyFont="1" applyFill="1" applyBorder="1" applyAlignment="1">
      <alignment/>
    </xf>
    <xf numFmtId="2" fontId="0" fillId="0" borderId="0" xfId="0" applyFont="1" applyFill="1" applyBorder="1" applyAlignment="1">
      <alignment horizontal="center"/>
    </xf>
    <xf numFmtId="2" fontId="0" fillId="0" borderId="18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2" fontId="0" fillId="0" borderId="19" xfId="0" applyFill="1" applyBorder="1" applyAlignment="1">
      <alignment/>
    </xf>
    <xf numFmtId="2" fontId="0" fillId="0" borderId="22" xfId="0" applyNumberFormat="1" applyFont="1" applyFill="1" applyBorder="1" applyAlignment="1" applyProtection="1">
      <alignment/>
      <protection locked="0"/>
    </xf>
    <xf numFmtId="2" fontId="6" fillId="0" borderId="23" xfId="0" applyNumberFormat="1" applyFont="1" applyFill="1" applyBorder="1" applyAlignment="1" applyProtection="1">
      <alignment horizontal="left"/>
      <protection locked="0"/>
    </xf>
    <xf numFmtId="2" fontId="0" fillId="0" borderId="23" xfId="0" applyNumberFormat="1" applyFont="1" applyFill="1" applyBorder="1" applyAlignment="1" applyProtection="1">
      <alignment horizontal="left"/>
      <protection locked="0"/>
    </xf>
    <xf numFmtId="2" fontId="0" fillId="0" borderId="24" xfId="0" applyNumberFormat="1" applyFont="1" applyFill="1" applyBorder="1" applyAlignment="1" applyProtection="1">
      <alignment horizontal="left"/>
      <protection locked="0"/>
    </xf>
    <xf numFmtId="2" fontId="6" fillId="0" borderId="15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22" xfId="0" applyFill="1" applyBorder="1" applyAlignment="1">
      <alignment/>
    </xf>
    <xf numFmtId="2" fontId="6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4" xfId="0" applyNumberFormat="1" applyFon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 horizontal="right"/>
    </xf>
    <xf numFmtId="2" fontId="0" fillId="0" borderId="27" xfId="0" applyFill="1" applyBorder="1" applyAlignment="1">
      <alignment/>
    </xf>
    <xf numFmtId="2" fontId="0" fillId="0" borderId="21" xfId="0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9" fillId="0" borderId="17" xfId="0" applyFont="1" applyFill="1" applyBorder="1" applyAlignment="1">
      <alignment/>
    </xf>
    <xf numFmtId="2" fontId="9" fillId="0" borderId="19" xfId="0" applyFont="1" applyFill="1" applyBorder="1" applyAlignment="1">
      <alignment/>
    </xf>
    <xf numFmtId="2" fontId="9" fillId="0" borderId="0" xfId="0" applyNumberFormat="1" applyFont="1" applyFill="1" applyAlignment="1" applyProtection="1">
      <alignment/>
      <protection locked="0"/>
    </xf>
    <xf numFmtId="2" fontId="10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fill"/>
    </xf>
    <xf numFmtId="2" fontId="10" fillId="0" borderId="0" xfId="0" applyNumberFormat="1" applyFont="1" applyAlignment="1">
      <alignment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0" fillId="34" borderId="29" xfId="0" applyNumberFormat="1" applyFont="1" applyFill="1" applyBorder="1" applyAlignment="1">
      <alignment horizontal="center"/>
    </xf>
    <xf numFmtId="0" fontId="10" fillId="34" borderId="11" xfId="0" applyNumberFormat="1" applyFont="1" applyFill="1" applyBorder="1" applyAlignment="1">
      <alignment/>
    </xf>
    <xf numFmtId="0" fontId="10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NumberFormat="1" applyFont="1" applyFill="1" applyAlignment="1">
      <alignment/>
    </xf>
    <xf numFmtId="2" fontId="17" fillId="0" borderId="0" xfId="0" applyNumberFormat="1" applyFont="1" applyAlignment="1">
      <alignment horizontal="center"/>
    </xf>
    <xf numFmtId="2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10" fillId="0" borderId="0" xfId="0" applyNumberFormat="1" applyFont="1" applyAlignment="1">
      <alignment horizontal="fill"/>
    </xf>
    <xf numFmtId="1" fontId="16" fillId="0" borderId="0" xfId="0" applyNumberFormat="1" applyFont="1" applyAlignment="1">
      <alignment/>
    </xf>
    <xf numFmtId="2" fontId="0" fillId="0" borderId="0" xfId="0" applyFill="1" applyAlignment="1">
      <alignment horizontal="center"/>
    </xf>
    <xf numFmtId="0" fontId="0" fillId="0" borderId="11" xfId="0" applyNumberFormat="1" applyBorder="1" applyAlignment="1">
      <alignment/>
    </xf>
    <xf numFmtId="0" fontId="10" fillId="35" borderId="11" xfId="0" applyNumberFormat="1" applyFont="1" applyFill="1" applyBorder="1" applyAlignment="1">
      <alignment/>
    </xf>
    <xf numFmtId="2" fontId="10" fillId="0" borderId="0" xfId="0" applyNumberFormat="1" applyFont="1" applyAlignment="1">
      <alignment horizontal="fill"/>
    </xf>
    <xf numFmtId="2" fontId="10" fillId="0" borderId="0" xfId="0" applyNumberFormat="1" applyFont="1" applyFill="1" applyAlignment="1">
      <alignment horizontal="right"/>
    </xf>
    <xf numFmtId="1" fontId="0" fillId="36" borderId="0" xfId="0" applyNumberFormat="1" applyFill="1" applyBorder="1" applyAlignment="1">
      <alignment/>
    </xf>
    <xf numFmtId="1" fontId="0" fillId="36" borderId="29" xfId="0" applyNumberFormat="1" applyFill="1" applyBorder="1" applyAlignment="1">
      <alignment/>
    </xf>
    <xf numFmtId="0" fontId="15" fillId="36" borderId="29" xfId="0" applyNumberFormat="1" applyFont="1" applyFill="1" applyBorder="1" applyAlignment="1">
      <alignment horizontal="center"/>
    </xf>
    <xf numFmtId="0" fontId="15" fillId="36" borderId="29" xfId="0" applyNumberFormat="1" applyFont="1" applyFill="1" applyBorder="1" applyAlignment="1" quotePrefix="1">
      <alignment horizontal="left"/>
    </xf>
    <xf numFmtId="0" fontId="15" fillId="36" borderId="29" xfId="0" applyNumberFormat="1" applyFont="1" applyFill="1" applyBorder="1" applyAlignment="1">
      <alignment horizontal="left"/>
    </xf>
    <xf numFmtId="0" fontId="15" fillId="36" borderId="0" xfId="0" applyNumberFormat="1" applyFont="1" applyFill="1" applyBorder="1" applyAlignment="1">
      <alignment horizontal="center"/>
    </xf>
    <xf numFmtId="1" fontId="0" fillId="36" borderId="11" xfId="0" applyNumberFormat="1" applyFill="1" applyBorder="1" applyAlignment="1">
      <alignment/>
    </xf>
    <xf numFmtId="0" fontId="15" fillId="36" borderId="11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fill"/>
    </xf>
    <xf numFmtId="0" fontId="10" fillId="0" borderId="0" xfId="0" applyNumberFormat="1" applyFont="1" applyBorder="1" applyAlignment="1">
      <alignment horizontal="fill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>
      <alignment horizontal="center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Font="1" applyFill="1" applyBorder="1" applyAlignment="1" applyProtection="1">
      <alignment horizontal="center"/>
      <protection locked="0"/>
    </xf>
    <xf numFmtId="164" fontId="0" fillId="0" borderId="23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/>
    </xf>
    <xf numFmtId="2" fontId="18" fillId="0" borderId="17" xfId="0" applyFont="1" applyFill="1" applyBorder="1" applyAlignment="1">
      <alignment/>
    </xf>
    <xf numFmtId="2" fontId="0" fillId="0" borderId="17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fill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28" xfId="0" applyNumberFormat="1" applyFont="1" applyFill="1" applyBorder="1" applyAlignment="1">
      <alignment/>
    </xf>
    <xf numFmtId="2" fontId="0" fillId="0" borderId="10" xfId="0" applyNumberFormat="1" applyFont="1" applyFill="1" applyBorder="1" applyAlignment="1" applyProtection="1">
      <alignment/>
      <protection locked="0"/>
    </xf>
    <xf numFmtId="2" fontId="6" fillId="0" borderId="17" xfId="0" applyNumberFormat="1" applyFont="1" applyFill="1" applyBorder="1" applyAlignment="1">
      <alignment/>
    </xf>
    <xf numFmtId="2" fontId="6" fillId="0" borderId="0" xfId="0" applyNumberFormat="1" applyFont="1" applyFill="1" applyBorder="1" applyAlignment="1" applyProtection="1" quotePrefix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1" fontId="14" fillId="0" borderId="0" xfId="0" applyNumberFormat="1" applyFont="1" applyFill="1" applyAlignment="1">
      <alignment/>
    </xf>
    <xf numFmtId="2" fontId="19" fillId="37" borderId="22" xfId="0" applyNumberFormat="1" applyFont="1" applyFill="1" applyBorder="1" applyAlignment="1">
      <alignment/>
    </xf>
    <xf numFmtId="2" fontId="0" fillId="37" borderId="23" xfId="0" applyNumberFormat="1" applyFont="1" applyFill="1" applyBorder="1" applyAlignment="1" applyProtection="1">
      <alignment/>
      <protection locked="0"/>
    </xf>
    <xf numFmtId="164" fontId="0" fillId="37" borderId="24" xfId="0" applyNumberFormat="1" applyFont="1" applyFill="1" applyBorder="1" applyAlignment="1" applyProtection="1">
      <alignment horizontal="center"/>
      <protection locked="0"/>
    </xf>
    <xf numFmtId="2" fontId="0" fillId="0" borderId="13" xfId="0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2" fontId="0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2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  <protection locked="0"/>
    </xf>
    <xf numFmtId="166" fontId="0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2" fontId="6" fillId="0" borderId="12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2" fontId="6" fillId="0" borderId="11" xfId="0" applyFont="1" applyFill="1" applyBorder="1" applyAlignment="1">
      <alignment horizontal="right"/>
    </xf>
    <xf numFmtId="2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2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2" fontId="0" fillId="0" borderId="18" xfId="0" applyFont="1" applyFill="1" applyBorder="1" applyAlignment="1">
      <alignment horizontal="right"/>
    </xf>
    <xf numFmtId="2" fontId="0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2" fontId="0" fillId="0" borderId="3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8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2" fontId="0" fillId="0" borderId="20" xfId="0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2" fontId="0" fillId="0" borderId="21" xfId="0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1" xfId="0" applyNumberFormat="1" applyFont="1" applyFill="1" applyBorder="1" applyAlignment="1" applyProtection="1">
      <alignment horizontal="right"/>
      <protection locked="0"/>
    </xf>
    <xf numFmtId="2" fontId="0" fillId="0" borderId="15" xfId="0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2" fontId="0" fillId="0" borderId="16" xfId="0" applyFont="1" applyFill="1" applyBorder="1" applyAlignment="1">
      <alignment horizontal="right"/>
    </xf>
    <xf numFmtId="2" fontId="0" fillId="0" borderId="3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17" fillId="0" borderId="0" xfId="0" applyFont="1" applyFill="1" applyAlignment="1">
      <alignment horizontal="right"/>
    </xf>
    <xf numFmtId="1" fontId="17" fillId="0" borderId="17" xfId="0" applyNumberFormat="1" applyFont="1" applyFill="1" applyBorder="1" applyAlignment="1">
      <alignment horizontal="center"/>
    </xf>
    <xf numFmtId="2" fontId="17" fillId="0" borderId="0" xfId="0" applyFont="1" applyFill="1" applyBorder="1" applyAlignment="1">
      <alignment horizontal="right"/>
    </xf>
    <xf numFmtId="2" fontId="17" fillId="0" borderId="18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left"/>
    </xf>
    <xf numFmtId="164" fontId="0" fillId="0" borderId="31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2" fontId="0" fillId="0" borderId="31" xfId="0" applyNumberFormat="1" applyFont="1" applyFill="1" applyBorder="1" applyAlignment="1">
      <alignment horizontal="right"/>
    </xf>
    <xf numFmtId="2" fontId="0" fillId="0" borderId="32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left"/>
    </xf>
    <xf numFmtId="165" fontId="22" fillId="0" borderId="0" xfId="0" applyNumberFormat="1" applyFont="1" applyAlignment="1">
      <alignment horizontal="center"/>
    </xf>
    <xf numFmtId="2" fontId="22" fillId="0" borderId="0" xfId="0" applyNumberFormat="1" applyFont="1" applyFill="1" applyAlignment="1">
      <alignment/>
    </xf>
    <xf numFmtId="1" fontId="0" fillId="0" borderId="33" xfId="0" applyNumberFormat="1" applyFont="1" applyFill="1" applyBorder="1" applyAlignment="1">
      <alignment horizontal="right"/>
    </xf>
    <xf numFmtId="2" fontId="0" fillId="0" borderId="33" xfId="0" applyNumberFormat="1" applyFont="1" applyFill="1" applyBorder="1" applyAlignment="1">
      <alignment horizontal="right"/>
    </xf>
    <xf numFmtId="164" fontId="0" fillId="0" borderId="34" xfId="0" applyNumberFormat="1" applyFont="1" applyFill="1" applyBorder="1" applyAlignment="1">
      <alignment horizontal="right"/>
    </xf>
    <xf numFmtId="164" fontId="0" fillId="0" borderId="34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right"/>
    </xf>
    <xf numFmtId="0" fontId="22" fillId="0" borderId="0" xfId="0" applyNumberFormat="1" applyFont="1" applyAlignment="1" applyProtection="1">
      <alignment/>
      <protection/>
    </xf>
    <xf numFmtId="2" fontId="23" fillId="0" borderId="23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Alignment="1">
      <alignment/>
    </xf>
    <xf numFmtId="2" fontId="24" fillId="0" borderId="0" xfId="0" applyNumberFormat="1" applyFont="1" applyAlignment="1" quotePrefix="1">
      <alignment horizontal="right"/>
    </xf>
    <xf numFmtId="2" fontId="17" fillId="0" borderId="0" xfId="0" applyNumberFormat="1" applyFont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Border="1" applyAlignment="1">
      <alignment/>
    </xf>
    <xf numFmtId="2" fontId="17" fillId="0" borderId="0" xfId="0" applyNumberFormat="1" applyFont="1" applyFill="1" applyAlignment="1">
      <alignment/>
    </xf>
    <xf numFmtId="164" fontId="17" fillId="0" borderId="0" xfId="0" applyNumberFormat="1" applyFont="1" applyFill="1" applyAlignment="1" applyProtection="1">
      <alignment horizontal="right"/>
      <protection locked="0"/>
    </xf>
    <xf numFmtId="0" fontId="10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0" fontId="10" fillId="34" borderId="29" xfId="0" applyNumberFormat="1" applyFont="1" applyFill="1" applyBorder="1" applyAlignment="1" applyProtection="1">
      <alignment/>
      <protection locked="0"/>
    </xf>
    <xf numFmtId="0" fontId="10" fillId="34" borderId="29" xfId="0" applyNumberFormat="1" applyFont="1" applyFill="1" applyBorder="1" applyAlignment="1">
      <alignment horizontal="left"/>
    </xf>
    <xf numFmtId="0" fontId="10" fillId="34" borderId="11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65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4" fontId="69" fillId="0" borderId="0" xfId="42" applyNumberFormat="1" applyFont="1" applyFill="1" applyBorder="1" applyAlignment="1" quotePrefix="1">
      <alignment horizontal="right"/>
    </xf>
    <xf numFmtId="2" fontId="69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4" fontId="69" fillId="0" borderId="0" xfId="42" applyNumberFormat="1" applyFont="1" applyBorder="1" applyAlignment="1" quotePrefix="1">
      <alignment horizontal="right"/>
    </xf>
    <xf numFmtId="4" fontId="69" fillId="0" borderId="0" xfId="42" applyNumberFormat="1" applyFont="1" applyBorder="1" applyAlignment="1">
      <alignment horizontal="right"/>
    </xf>
    <xf numFmtId="2" fontId="17" fillId="0" borderId="0" xfId="0" applyNumberFormat="1" applyFont="1" applyAlignment="1">
      <alignment horizontal="left"/>
    </xf>
    <xf numFmtId="4" fontId="69" fillId="0" borderId="0" xfId="42" applyNumberFormat="1" applyFont="1" applyFill="1" applyBorder="1" applyAlignment="1">
      <alignment horizontal="right"/>
    </xf>
    <xf numFmtId="0" fontId="22" fillId="0" borderId="0" xfId="0" applyNumberFormat="1" applyFont="1" applyAlignment="1" applyProtection="1">
      <alignment/>
      <protection locked="0"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Alignment="1" applyProtection="1">
      <alignment/>
      <protection/>
    </xf>
    <xf numFmtId="2" fontId="17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/>
      <protection locked="0"/>
    </xf>
    <xf numFmtId="165" fontId="17" fillId="0" borderId="11" xfId="0" applyNumberFormat="1" applyFont="1" applyBorder="1" applyAlignment="1">
      <alignment horizontal="left"/>
    </xf>
    <xf numFmtId="0" fontId="17" fillId="0" borderId="11" xfId="0" applyNumberFormat="1" applyFont="1" applyBorder="1" applyAlignment="1" applyProtection="1">
      <alignment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0" fontId="17" fillId="0" borderId="0" xfId="0" applyNumberFormat="1" applyFont="1" applyFill="1" applyAlignment="1" applyProtection="1">
      <alignment/>
      <protection locked="0"/>
    </xf>
    <xf numFmtId="1" fontId="15" fillId="34" borderId="29" xfId="0" applyNumberFormat="1" applyFont="1" applyFill="1" applyBorder="1" applyAlignment="1">
      <alignment/>
    </xf>
    <xf numFmtId="0" fontId="15" fillId="34" borderId="29" xfId="0" applyNumberFormat="1" applyFont="1" applyFill="1" applyBorder="1" applyAlignment="1">
      <alignment/>
    </xf>
    <xf numFmtId="2" fontId="15" fillId="34" borderId="29" xfId="0" applyNumberFormat="1" applyFont="1" applyFill="1" applyBorder="1" applyAlignment="1">
      <alignment/>
    </xf>
    <xf numFmtId="1" fontId="15" fillId="34" borderId="11" xfId="0" applyNumberFormat="1" applyFont="1" applyFill="1" applyBorder="1" applyAlignment="1">
      <alignment/>
    </xf>
    <xf numFmtId="0" fontId="15" fillId="34" borderId="11" xfId="0" applyNumberFormat="1" applyFont="1" applyFill="1" applyBorder="1" applyAlignment="1">
      <alignment/>
    </xf>
    <xf numFmtId="0" fontId="15" fillId="34" borderId="11" xfId="0" applyNumberFormat="1" applyFont="1" applyFill="1" applyBorder="1" applyAlignment="1">
      <alignment horizontal="left"/>
    </xf>
    <xf numFmtId="2" fontId="15" fillId="34" borderId="11" xfId="0" applyNumberFormat="1" applyFont="1" applyFill="1" applyBorder="1" applyAlignment="1">
      <alignment horizontal="left"/>
    </xf>
    <xf numFmtId="0" fontId="17" fillId="0" borderId="0" xfId="0" applyNumberFormat="1" applyFont="1" applyAlignment="1">
      <alignment horizontal="left"/>
    </xf>
    <xf numFmtId="2" fontId="15" fillId="0" borderId="0" xfId="0" applyNumberFormat="1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/>
      <protection locked="0"/>
    </xf>
    <xf numFmtId="165" fontId="16" fillId="0" borderId="0" xfId="0" applyNumberFormat="1" applyFont="1" applyAlignment="1">
      <alignment/>
    </xf>
    <xf numFmtId="2" fontId="69" fillId="0" borderId="0" xfId="0" applyNumberFormat="1" applyFont="1" applyAlignment="1">
      <alignment horizontal="right"/>
    </xf>
    <xf numFmtId="0" fontId="17" fillId="0" borderId="0" xfId="0" applyNumberFormat="1" applyFont="1" applyAlignment="1" quotePrefix="1">
      <alignment/>
    </xf>
    <xf numFmtId="165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 quotePrefix="1">
      <alignment/>
    </xf>
    <xf numFmtId="0" fontId="17" fillId="0" borderId="0" xfId="0" applyNumberFormat="1" applyFont="1" applyBorder="1" applyAlignment="1">
      <alignment horizontal="left"/>
    </xf>
    <xf numFmtId="2" fontId="69" fillId="0" borderId="0" xfId="0" applyNumberFormat="1" applyFont="1" applyBorder="1" applyAlignment="1">
      <alignment horizontal="right"/>
    </xf>
    <xf numFmtId="165" fontId="17" fillId="0" borderId="11" xfId="0" applyNumberFormat="1" applyFont="1" applyBorder="1" applyAlignment="1">
      <alignment horizontal="center"/>
    </xf>
    <xf numFmtId="0" fontId="17" fillId="0" borderId="11" xfId="0" applyNumberFormat="1" applyFont="1" applyBorder="1" applyAlignment="1" quotePrefix="1">
      <alignment/>
    </xf>
    <xf numFmtId="0" fontId="17" fillId="0" borderId="11" xfId="0" applyNumberFormat="1" applyFont="1" applyBorder="1" applyAlignment="1">
      <alignment horizontal="left"/>
    </xf>
    <xf numFmtId="2" fontId="69" fillId="0" borderId="11" xfId="0" applyNumberFormat="1" applyFont="1" applyBorder="1" applyAlignment="1">
      <alignment horizontal="right"/>
    </xf>
    <xf numFmtId="2" fontId="10" fillId="0" borderId="0" xfId="0" applyNumberFormat="1" applyFont="1" applyAlignment="1" applyProtection="1">
      <alignment/>
      <protection locked="0"/>
    </xf>
    <xf numFmtId="1" fontId="17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 horizontal="left"/>
    </xf>
    <xf numFmtId="0" fontId="17" fillId="0" borderId="11" xfId="0" applyNumberFormat="1" applyFont="1" applyBorder="1" applyAlignment="1">
      <alignment/>
    </xf>
    <xf numFmtId="2" fontId="69" fillId="0" borderId="0" xfId="0" applyNumberFormat="1" applyFont="1" applyFill="1" applyAlignment="1">
      <alignment horizontal="right"/>
    </xf>
    <xf numFmtId="0" fontId="17" fillId="0" borderId="0" xfId="0" applyNumberFormat="1" applyFont="1" applyAlignment="1">
      <alignment horizontal="fill"/>
    </xf>
    <xf numFmtId="1" fontId="17" fillId="0" borderId="0" xfId="0" applyNumberFormat="1" applyFont="1" applyAlignment="1">
      <alignment/>
    </xf>
    <xf numFmtId="2" fontId="10" fillId="0" borderId="0" xfId="0" applyNumberFormat="1" applyFont="1" applyAlignment="1" applyProtection="1">
      <alignment horizontal="center"/>
      <protection locked="0"/>
    </xf>
    <xf numFmtId="2" fontId="17" fillId="0" borderId="0" xfId="0" applyNumberFormat="1" applyFont="1" applyAlignment="1" applyProtection="1" quotePrefix="1">
      <alignment horizontal="center"/>
      <protection locked="0"/>
    </xf>
    <xf numFmtId="2" fontId="10" fillId="0" borderId="0" xfId="0" applyNumberFormat="1" applyFont="1" applyFill="1" applyAlignment="1" applyProtection="1">
      <alignment/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65" fontId="17" fillId="0" borderId="0" xfId="0" applyNumberFormat="1" applyFont="1" applyAlignment="1">
      <alignment/>
    </xf>
    <xf numFmtId="0" fontId="0" fillId="35" borderId="11" xfId="0" applyNumberFormat="1" applyFill="1" applyBorder="1" applyAlignment="1">
      <alignment/>
    </xf>
    <xf numFmtId="0" fontId="0" fillId="0" borderId="0" xfId="0" applyNumberFormat="1" applyAlignment="1">
      <alignment horizontal="right"/>
    </xf>
    <xf numFmtId="168" fontId="17" fillId="0" borderId="0" xfId="0" applyNumberFormat="1" applyFont="1" applyAlignment="1">
      <alignment horizontal="right"/>
    </xf>
    <xf numFmtId="0" fontId="17" fillId="0" borderId="11" xfId="0" applyNumberFormat="1" applyFont="1" applyBorder="1" applyAlignment="1">
      <alignment horizontal="center"/>
    </xf>
    <xf numFmtId="165" fontId="70" fillId="0" borderId="0" xfId="0" applyNumberFormat="1" applyFont="1" applyAlignment="1">
      <alignment horizontal="center"/>
    </xf>
    <xf numFmtId="0" fontId="70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2" fontId="70" fillId="0" borderId="0" xfId="0" applyNumberFormat="1" applyFont="1" applyFill="1" applyAlignment="1">
      <alignment/>
    </xf>
    <xf numFmtId="4" fontId="17" fillId="0" borderId="0" xfId="42" applyNumberFormat="1" applyFont="1" applyFill="1" applyBorder="1" applyAlignment="1" quotePrefix="1">
      <alignment horizontal="right"/>
    </xf>
    <xf numFmtId="0" fontId="69" fillId="0" borderId="0" xfId="0" applyNumberFormat="1" applyFont="1" applyAlignment="1" applyProtection="1">
      <alignment/>
      <protection locked="0"/>
    </xf>
    <xf numFmtId="164" fontId="69" fillId="0" borderId="0" xfId="0" applyNumberFormat="1" applyFont="1" applyFill="1" applyBorder="1" applyAlignment="1" applyProtection="1">
      <alignment horizontal="left"/>
      <protection locked="0"/>
    </xf>
    <xf numFmtId="2" fontId="69" fillId="0" borderId="0" xfId="0" applyNumberFormat="1" applyFont="1" applyAlignment="1">
      <alignment/>
    </xf>
    <xf numFmtId="164" fontId="0" fillId="37" borderId="23" xfId="0" applyNumberFormat="1" applyFont="1" applyFill="1" applyBorder="1" applyAlignment="1" applyProtection="1">
      <alignment horizontal="center"/>
      <protection locked="0"/>
    </xf>
    <xf numFmtId="16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 applyProtection="1">
      <alignment/>
      <protection locked="0"/>
    </xf>
    <xf numFmtId="164" fontId="25" fillId="0" borderId="0" xfId="0" applyNumberFormat="1" applyFont="1" applyFill="1" applyAlignment="1" applyProtection="1">
      <alignment horizontal="right"/>
      <protection locked="0"/>
    </xf>
    <xf numFmtId="0" fontId="10" fillId="35" borderId="11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 applyProtection="1">
      <alignment/>
      <protection locked="0"/>
    </xf>
    <xf numFmtId="164" fontId="10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0" fontId="15" fillId="38" borderId="29" xfId="0" applyNumberFormat="1" applyFont="1" applyFill="1" applyBorder="1" applyAlignment="1">
      <alignment horizontal="center"/>
    </xf>
    <xf numFmtId="1" fontId="15" fillId="38" borderId="29" xfId="0" applyNumberFormat="1" applyFont="1" applyFill="1" applyBorder="1" applyAlignment="1">
      <alignment/>
    </xf>
    <xf numFmtId="1" fontId="15" fillId="38" borderId="29" xfId="0" applyNumberFormat="1" applyFont="1" applyFill="1" applyBorder="1" applyAlignment="1">
      <alignment horizontal="center"/>
    </xf>
    <xf numFmtId="1" fontId="15" fillId="38" borderId="29" xfId="0" applyNumberFormat="1" applyFont="1" applyFill="1" applyBorder="1" applyAlignment="1">
      <alignment horizontal="right"/>
    </xf>
    <xf numFmtId="165" fontId="15" fillId="38" borderId="29" xfId="0" applyNumberFormat="1" applyFont="1" applyFill="1" applyBorder="1" applyAlignment="1">
      <alignment/>
    </xf>
    <xf numFmtId="0" fontId="15" fillId="38" borderId="29" xfId="0" applyNumberFormat="1" applyFont="1" applyFill="1" applyBorder="1" applyAlignment="1" quotePrefix="1">
      <alignment horizontal="left"/>
    </xf>
    <xf numFmtId="0" fontId="15" fillId="38" borderId="29" xfId="0" applyNumberFormat="1" applyFont="1" applyFill="1" applyBorder="1" applyAlignment="1">
      <alignment horizontal="left"/>
    </xf>
    <xf numFmtId="0" fontId="15" fillId="38" borderId="0" xfId="0" applyNumberFormat="1" applyFont="1" applyFill="1" applyBorder="1" applyAlignment="1">
      <alignment horizontal="center"/>
    </xf>
    <xf numFmtId="1" fontId="15" fillId="38" borderId="0" xfId="0" applyNumberFormat="1" applyFont="1" applyFill="1" applyBorder="1" applyAlignment="1">
      <alignment/>
    </xf>
    <xf numFmtId="1" fontId="15" fillId="38" borderId="0" xfId="0" applyNumberFormat="1" applyFont="1" applyFill="1" applyBorder="1" applyAlignment="1">
      <alignment horizontal="center"/>
    </xf>
    <xf numFmtId="165" fontId="15" fillId="38" borderId="0" xfId="0" applyNumberFormat="1" applyFont="1" applyFill="1" applyBorder="1" applyAlignment="1">
      <alignment/>
    </xf>
    <xf numFmtId="0" fontId="15" fillId="38" borderId="11" xfId="0" applyNumberFormat="1" applyFont="1" applyFill="1" applyBorder="1" applyAlignment="1">
      <alignment horizontal="center"/>
    </xf>
    <xf numFmtId="1" fontId="15" fillId="38" borderId="11" xfId="0" applyNumberFormat="1" applyFont="1" applyFill="1" applyBorder="1" applyAlignment="1">
      <alignment/>
    </xf>
    <xf numFmtId="1" fontId="15" fillId="38" borderId="11" xfId="0" applyNumberFormat="1" applyFont="1" applyFill="1" applyBorder="1" applyAlignment="1">
      <alignment horizontal="center"/>
    </xf>
    <xf numFmtId="165" fontId="15" fillId="38" borderId="11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fill"/>
    </xf>
    <xf numFmtId="165" fontId="10" fillId="0" borderId="0" xfId="0" applyNumberFormat="1" applyFont="1" applyBorder="1" applyAlignment="1">
      <alignment horizontal="fill"/>
    </xf>
    <xf numFmtId="1" fontId="10" fillId="0" borderId="0" xfId="0" applyNumberFormat="1" applyFont="1" applyAlignment="1">
      <alignment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10" fillId="0" borderId="0" xfId="0" applyNumberFormat="1" applyFont="1" applyAlignment="1">
      <alignment horizontal="right"/>
    </xf>
    <xf numFmtId="1" fontId="17" fillId="0" borderId="0" xfId="0" applyNumberFormat="1" applyFont="1" applyFill="1" applyAlignment="1" quotePrefix="1">
      <alignment horizontal="center"/>
    </xf>
    <xf numFmtId="1" fontId="17" fillId="0" borderId="0" xfId="0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center"/>
      <protection locked="0"/>
    </xf>
    <xf numFmtId="165" fontId="17" fillId="0" borderId="0" xfId="0" applyNumberFormat="1" applyFont="1" applyFill="1" applyAlignment="1" quotePrefix="1">
      <alignment horizontal="center"/>
    </xf>
    <xf numFmtId="1" fontId="17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1" fontId="10" fillId="0" borderId="0" xfId="0" applyNumberFormat="1" applyFont="1" applyFill="1" applyAlignment="1" applyProtection="1">
      <alignment/>
      <protection locked="0"/>
    </xf>
    <xf numFmtId="1" fontId="10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17" fillId="0" borderId="0" xfId="0" applyNumberFormat="1" applyFont="1" applyFill="1" applyAlignment="1">
      <alignment/>
    </xf>
    <xf numFmtId="0" fontId="69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20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165" fontId="17" fillId="0" borderId="37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1" fontId="17" fillId="0" borderId="37" xfId="0" applyNumberFormat="1" applyFon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right"/>
    </xf>
    <xf numFmtId="1" fontId="0" fillId="0" borderId="37" xfId="0" applyNumberFormat="1" applyFill="1" applyBorder="1" applyAlignment="1">
      <alignment/>
    </xf>
    <xf numFmtId="1" fontId="0" fillId="0" borderId="36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>
      <alignment horizontal="right"/>
    </xf>
    <xf numFmtId="2" fontId="0" fillId="0" borderId="38" xfId="0" applyFill="1" applyBorder="1" applyAlignment="1">
      <alignment horizontal="center"/>
    </xf>
    <xf numFmtId="2" fontId="0" fillId="0" borderId="36" xfId="0" applyFill="1" applyBorder="1" applyAlignment="1">
      <alignment horizontal="center"/>
    </xf>
    <xf numFmtId="1" fontId="17" fillId="0" borderId="37" xfId="0" applyNumberFormat="1" applyFont="1" applyFill="1" applyBorder="1" applyAlignment="1" applyProtection="1">
      <alignment horizontal="center"/>
      <protection locked="0"/>
    </xf>
    <xf numFmtId="1" fontId="0" fillId="0" borderId="37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37" xfId="0" applyFill="1" applyBorder="1" applyAlignment="1">
      <alignment horizontal="center"/>
    </xf>
    <xf numFmtId="2" fontId="6" fillId="0" borderId="22" xfId="0" applyNumberFormat="1" applyFont="1" applyFill="1" applyBorder="1" applyAlignment="1" applyProtection="1">
      <alignment/>
      <protection locked="0"/>
    </xf>
    <xf numFmtId="2" fontId="6" fillId="0" borderId="23" xfId="0" applyNumberFormat="1" applyFont="1" applyFill="1" applyBorder="1" applyAlignment="1" applyProtection="1">
      <alignment/>
      <protection locked="0"/>
    </xf>
    <xf numFmtId="164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4" xfId="0" applyNumberFormat="1" applyFont="1" applyFill="1" applyBorder="1" applyAlignment="1" applyProtection="1">
      <alignment/>
      <protection locked="0"/>
    </xf>
    <xf numFmtId="2" fontId="9" fillId="0" borderId="15" xfId="0" applyFont="1" applyFill="1" applyBorder="1" applyAlignment="1">
      <alignment/>
    </xf>
    <xf numFmtId="2" fontId="9" fillId="0" borderId="0" xfId="0" applyFont="1" applyFill="1" applyBorder="1" applyAlignment="1">
      <alignment/>
    </xf>
    <xf numFmtId="2" fontId="18" fillId="0" borderId="0" xfId="0" applyNumberFormat="1" applyFont="1" applyFill="1" applyBorder="1" applyAlignment="1" applyProtection="1">
      <alignment/>
      <protection locked="0"/>
    </xf>
    <xf numFmtId="2" fontId="6" fillId="0" borderId="11" xfId="0" applyFont="1" applyFill="1" applyBorder="1" applyAlignment="1">
      <alignment vertical="justify"/>
    </xf>
    <xf numFmtId="164" fontId="6" fillId="0" borderId="29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2" fillId="0" borderId="0" xfId="50" applyAlignment="1" applyProtection="1">
      <alignment/>
      <protection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69" fillId="0" borderId="0" xfId="0" applyNumberFormat="1" applyFont="1" applyAlignment="1">
      <alignment horizontal="right"/>
    </xf>
    <xf numFmtId="164" fontId="69" fillId="0" borderId="0" xfId="0" applyNumberFormat="1" applyFont="1" applyFill="1" applyAlignment="1">
      <alignment horizontal="right"/>
    </xf>
    <xf numFmtId="2" fontId="17" fillId="0" borderId="18" xfId="0" applyFont="1" applyFill="1" applyBorder="1" applyAlignment="1">
      <alignment horizontal="right"/>
    </xf>
    <xf numFmtId="2" fontId="22" fillId="0" borderId="0" xfId="0" applyNumberFormat="1" applyFont="1" applyAlignment="1" applyProtection="1">
      <alignment/>
      <protection locked="0"/>
    </xf>
    <xf numFmtId="44" fontId="27" fillId="0" borderId="0" xfId="42" applyFont="1" applyAlignment="1">
      <alignment horizontal="right"/>
    </xf>
    <xf numFmtId="44" fontId="26" fillId="0" borderId="0" xfId="42" applyFont="1" applyAlignment="1">
      <alignment/>
    </xf>
    <xf numFmtId="1" fontId="28" fillId="0" borderId="0" xfId="0" applyNumberFormat="1" applyFont="1" applyAlignment="1">
      <alignment/>
    </xf>
    <xf numFmtId="167" fontId="69" fillId="0" borderId="0" xfId="0" applyNumberFormat="1" applyFont="1" applyAlignment="1">
      <alignment horizontal="right"/>
    </xf>
    <xf numFmtId="165" fontId="69" fillId="0" borderId="0" xfId="0" applyNumberFormat="1" applyFont="1" applyFill="1" applyAlignment="1">
      <alignment horizontal="center"/>
    </xf>
    <xf numFmtId="0" fontId="69" fillId="0" borderId="0" xfId="0" applyNumberFormat="1" applyFont="1" applyFill="1" applyAlignment="1">
      <alignment/>
    </xf>
    <xf numFmtId="1" fontId="69" fillId="0" borderId="0" xfId="0" applyNumberFormat="1" applyFont="1" applyFill="1" applyAlignment="1">
      <alignment horizontal="center"/>
    </xf>
    <xf numFmtId="1" fontId="69" fillId="0" borderId="0" xfId="0" applyNumberFormat="1" applyFont="1" applyAlignment="1" applyProtection="1">
      <alignment/>
      <protection locked="0"/>
    </xf>
    <xf numFmtId="1" fontId="69" fillId="0" borderId="0" xfId="0" applyNumberFormat="1" applyFont="1" applyAlignment="1">
      <alignment/>
    </xf>
    <xf numFmtId="165" fontId="69" fillId="0" borderId="0" xfId="0" applyNumberFormat="1" applyFont="1" applyFill="1" applyAlignment="1" quotePrefix="1">
      <alignment horizontal="center"/>
    </xf>
    <xf numFmtId="1" fontId="69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164" fontId="17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0" fillId="35" borderId="11" xfId="0" applyNumberFormat="1" applyFont="1" applyFill="1" applyBorder="1" applyAlignment="1">
      <alignment horizontal="right"/>
    </xf>
    <xf numFmtId="167" fontId="69" fillId="0" borderId="0" xfId="0" applyNumberFormat="1" applyFont="1" applyFill="1" applyAlignment="1" applyProtection="1">
      <alignment horizontal="right"/>
      <protection locked="0"/>
    </xf>
    <xf numFmtId="164" fontId="69" fillId="0" borderId="0" xfId="0" applyNumberFormat="1" applyFont="1" applyFill="1" applyAlignment="1" applyProtection="1">
      <alignment horizontal="right"/>
      <protection locked="0"/>
    </xf>
    <xf numFmtId="2" fontId="69" fillId="0" borderId="0" xfId="0" applyNumberFormat="1" applyFont="1" applyAlignment="1">
      <alignment horizontal="fill"/>
    </xf>
    <xf numFmtId="44" fontId="71" fillId="0" borderId="0" xfId="42" applyFont="1" applyAlignment="1">
      <alignment horizontal="right"/>
    </xf>
    <xf numFmtId="165" fontId="17" fillId="0" borderId="37" xfId="0" applyNumberFormat="1" applyFont="1" applyFill="1" applyBorder="1" applyAlignment="1">
      <alignment horizontal="center"/>
    </xf>
    <xf numFmtId="1" fontId="17" fillId="0" borderId="17" xfId="0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right"/>
    </xf>
    <xf numFmtId="0" fontId="70" fillId="0" borderId="0" xfId="0" applyNumberFormat="1" applyFont="1" applyAlignment="1" applyProtection="1">
      <alignment/>
      <protection/>
    </xf>
    <xf numFmtId="165" fontId="70" fillId="0" borderId="0" xfId="0" applyNumberFormat="1" applyFont="1" applyFill="1" applyAlignment="1">
      <alignment horizontal="center"/>
    </xf>
    <xf numFmtId="164" fontId="70" fillId="0" borderId="0" xfId="0" applyNumberFormat="1" applyFont="1" applyFill="1" applyBorder="1" applyAlignment="1" applyProtection="1">
      <alignment horizontal="left"/>
      <protection locked="0"/>
    </xf>
    <xf numFmtId="2" fontId="69" fillId="0" borderId="0" xfId="0" applyNumberFormat="1" applyFont="1" applyFill="1" applyBorder="1" applyAlignment="1" applyProtection="1">
      <alignment/>
      <protection locked="0"/>
    </xf>
    <xf numFmtId="2" fontId="69" fillId="0" borderId="0" xfId="0" applyFont="1" applyFill="1" applyBorder="1" applyAlignment="1">
      <alignment horizontal="right"/>
    </xf>
    <xf numFmtId="2" fontId="0" fillId="34" borderId="11" xfId="0" applyFill="1" applyBorder="1" applyAlignment="1">
      <alignment horizontal="center"/>
    </xf>
    <xf numFmtId="2" fontId="10" fillId="34" borderId="11" xfId="0" applyFont="1" applyFill="1" applyBorder="1" applyAlignment="1">
      <alignment/>
    </xf>
    <xf numFmtId="2" fontId="0" fillId="0" borderId="0" xfId="0" applyFill="1" applyBorder="1" applyAlignment="1">
      <alignment horizontal="center"/>
    </xf>
    <xf numFmtId="2" fontId="10" fillId="0" borderId="0" xfId="0" applyFont="1" applyFill="1" applyBorder="1" applyAlignment="1">
      <alignment/>
    </xf>
    <xf numFmtId="2" fontId="17" fillId="0" borderId="0" xfId="0" applyFont="1" applyFill="1" applyAlignment="1">
      <alignment/>
    </xf>
    <xf numFmtId="2" fontId="17" fillId="0" borderId="0" xfId="0" applyFont="1" applyAlignment="1">
      <alignment/>
    </xf>
    <xf numFmtId="2" fontId="22" fillId="0" borderId="0" xfId="0" applyFont="1" applyAlignment="1">
      <alignment/>
    </xf>
    <xf numFmtId="2" fontId="70" fillId="0" borderId="0" xfId="0" applyFont="1" applyAlignment="1">
      <alignment/>
    </xf>
    <xf numFmtId="2" fontId="0" fillId="0" borderId="0" xfId="0" applyAlignment="1">
      <alignment/>
    </xf>
    <xf numFmtId="2" fontId="0" fillId="36" borderId="29" xfId="0" applyFill="1" applyBorder="1" applyAlignment="1">
      <alignment/>
    </xf>
    <xf numFmtId="2" fontId="15" fillId="36" borderId="29" xfId="0" applyFont="1" applyFill="1" applyBorder="1" applyAlignment="1">
      <alignment/>
    </xf>
    <xf numFmtId="2" fontId="15" fillId="36" borderId="29" xfId="0" applyFont="1" applyFill="1" applyBorder="1" applyAlignment="1">
      <alignment horizontal="center"/>
    </xf>
    <xf numFmtId="2" fontId="15" fillId="36" borderId="29" xfId="0" applyFont="1" applyFill="1" applyBorder="1" applyAlignment="1">
      <alignment horizontal="right"/>
    </xf>
    <xf numFmtId="2" fontId="15" fillId="36" borderId="29" xfId="0" applyFont="1" applyFill="1" applyBorder="1" applyAlignment="1">
      <alignment horizontal="left"/>
    </xf>
    <xf numFmtId="2" fontId="0" fillId="36" borderId="0" xfId="0" applyFill="1" applyBorder="1" applyAlignment="1">
      <alignment/>
    </xf>
    <xf numFmtId="2" fontId="15" fillId="36" borderId="0" xfId="0" applyFont="1" applyFill="1" applyBorder="1" applyAlignment="1">
      <alignment/>
    </xf>
    <xf numFmtId="2" fontId="15" fillId="36" borderId="0" xfId="0" applyFont="1" applyFill="1" applyBorder="1" applyAlignment="1">
      <alignment horizontal="center"/>
    </xf>
    <xf numFmtId="2" fontId="10" fillId="36" borderId="11" xfId="0" applyFont="1" applyFill="1" applyBorder="1" applyAlignment="1">
      <alignment/>
    </xf>
    <xf numFmtId="2" fontId="15" fillId="36" borderId="11" xfId="0" applyFont="1" applyFill="1" applyBorder="1" applyAlignment="1">
      <alignment/>
    </xf>
    <xf numFmtId="2" fontId="15" fillId="36" borderId="11" xfId="0" applyFont="1" applyFill="1" applyBorder="1" applyAlignment="1">
      <alignment horizontal="center"/>
    </xf>
    <xf numFmtId="2" fontId="10" fillId="0" borderId="0" xfId="0" applyFont="1" applyBorder="1" applyAlignment="1">
      <alignment/>
    </xf>
    <xf numFmtId="2" fontId="10" fillId="0" borderId="0" xfId="0" applyFont="1" applyBorder="1" applyAlignment="1">
      <alignment horizontal="fill"/>
    </xf>
    <xf numFmtId="2" fontId="16" fillId="0" borderId="0" xfId="0" applyFont="1" applyAlignment="1">
      <alignment/>
    </xf>
    <xf numFmtId="2" fontId="0" fillId="0" borderId="0" xfId="0" applyAlignment="1">
      <alignment/>
    </xf>
    <xf numFmtId="2" fontId="10" fillId="0" borderId="0" xfId="0" applyFont="1" applyFill="1" applyAlignment="1">
      <alignment/>
    </xf>
    <xf numFmtId="2" fontId="14" fillId="0" borderId="0" xfId="0" applyFont="1" applyAlignment="1">
      <alignment/>
    </xf>
    <xf numFmtId="2" fontId="0" fillId="38" borderId="29" xfId="0" applyFill="1" applyBorder="1" applyAlignment="1">
      <alignment/>
    </xf>
    <xf numFmtId="2" fontId="15" fillId="38" borderId="29" xfId="0" applyFont="1" applyFill="1" applyBorder="1" applyAlignment="1">
      <alignment horizontal="center"/>
    </xf>
    <xf numFmtId="2" fontId="0" fillId="38" borderId="29" xfId="0" applyFill="1" applyBorder="1" applyAlignment="1">
      <alignment horizontal="center"/>
    </xf>
    <xf numFmtId="2" fontId="15" fillId="38" borderId="29" xfId="0" applyFont="1" applyFill="1" applyBorder="1" applyAlignment="1">
      <alignment horizontal="right"/>
    </xf>
    <xf numFmtId="2" fontId="15" fillId="38" borderId="29" xfId="0" applyFont="1" applyFill="1" applyBorder="1" applyAlignment="1">
      <alignment/>
    </xf>
    <xf numFmtId="2" fontId="15" fillId="38" borderId="29" xfId="0" applyFont="1" applyFill="1" applyBorder="1" applyAlignment="1">
      <alignment horizontal="left"/>
    </xf>
    <xf numFmtId="2" fontId="0" fillId="38" borderId="0" xfId="0" applyFill="1" applyBorder="1" applyAlignment="1">
      <alignment/>
    </xf>
    <xf numFmtId="2" fontId="0" fillId="38" borderId="0" xfId="0" applyFill="1" applyBorder="1" applyAlignment="1">
      <alignment/>
    </xf>
    <xf numFmtId="2" fontId="15" fillId="38" borderId="0" xfId="0" applyFont="1" applyFill="1" applyBorder="1" applyAlignment="1">
      <alignment horizontal="center"/>
    </xf>
    <xf numFmtId="2" fontId="0" fillId="38" borderId="11" xfId="0" applyFill="1" applyBorder="1" applyAlignment="1">
      <alignment/>
    </xf>
    <xf numFmtId="2" fontId="10" fillId="38" borderId="11" xfId="0" applyFont="1" applyFill="1" applyBorder="1" applyAlignment="1">
      <alignment/>
    </xf>
    <xf numFmtId="2" fontId="15" fillId="38" borderId="11" xfId="0" applyFont="1" applyFill="1" applyBorder="1" applyAlignment="1">
      <alignment horizontal="center"/>
    </xf>
    <xf numFmtId="2" fontId="17" fillId="0" borderId="0" xfId="0" applyFont="1" applyFill="1" applyAlignment="1">
      <alignment horizontal="right"/>
    </xf>
    <xf numFmtId="2" fontId="0" fillId="0" borderId="0" xfId="0" applyAlignment="1">
      <alignment horizontal="right"/>
    </xf>
    <xf numFmtId="2" fontId="17" fillId="0" borderId="0" xfId="0" applyFont="1" applyAlignment="1">
      <alignment horizontal="left"/>
    </xf>
    <xf numFmtId="2" fontId="10" fillId="0" borderId="0" xfId="0" applyFont="1" applyAlignment="1">
      <alignment/>
    </xf>
    <xf numFmtId="2" fontId="10" fillId="0" borderId="0" xfId="0" applyFont="1" applyAlignment="1">
      <alignment horizontal="left"/>
    </xf>
    <xf numFmtId="2" fontId="17" fillId="0" borderId="0" xfId="0" applyFont="1" applyBorder="1" applyAlignment="1">
      <alignment/>
    </xf>
    <xf numFmtId="2" fontId="17" fillId="0" borderId="0" xfId="0" applyFont="1" applyBorder="1" applyAlignment="1">
      <alignment horizontal="left"/>
    </xf>
    <xf numFmtId="2" fontId="17" fillId="0" borderId="11" xfId="0" applyFont="1" applyBorder="1" applyAlignment="1">
      <alignment/>
    </xf>
    <xf numFmtId="2" fontId="17" fillId="0" borderId="11" xfId="0" applyFont="1" applyBorder="1" applyAlignment="1">
      <alignment horizontal="left"/>
    </xf>
    <xf numFmtId="2" fontId="17" fillId="0" borderId="0" xfId="0" applyFont="1" applyAlignment="1" quotePrefix="1">
      <alignment/>
    </xf>
    <xf numFmtId="2" fontId="14" fillId="0" borderId="0" xfId="0" applyFont="1" applyFill="1" applyAlignment="1">
      <alignment/>
    </xf>
    <xf numFmtId="2" fontId="14" fillId="0" borderId="0" xfId="0" applyFont="1" applyFill="1" applyAlignment="1">
      <alignment horizontal="left"/>
    </xf>
    <xf numFmtId="2" fontId="69" fillId="0" borderId="0" xfId="0" applyFont="1" applyAlignment="1">
      <alignment/>
    </xf>
    <xf numFmtId="2" fontId="69" fillId="0" borderId="0" xfId="0" applyFont="1" applyFill="1" applyAlignment="1">
      <alignment/>
    </xf>
    <xf numFmtId="2" fontId="14" fillId="0" borderId="11" xfId="0" applyFont="1" applyBorder="1" applyAlignment="1">
      <alignment/>
    </xf>
    <xf numFmtId="2" fontId="0" fillId="0" borderId="11" xfId="0" applyBorder="1" applyAlignment="1">
      <alignment/>
    </xf>
    <xf numFmtId="2" fontId="0" fillId="0" borderId="11" xfId="0" applyBorder="1" applyAlignment="1">
      <alignment/>
    </xf>
    <xf numFmtId="2" fontId="0" fillId="35" borderId="11" xfId="0" applyFill="1" applyBorder="1" applyAlignment="1">
      <alignment/>
    </xf>
    <xf numFmtId="2" fontId="10" fillId="35" borderId="11" xfId="0" applyFont="1" applyFill="1" applyBorder="1" applyAlignment="1">
      <alignment/>
    </xf>
    <xf numFmtId="2" fontId="0" fillId="35" borderId="11" xfId="0" applyFill="1" applyBorder="1" applyAlignment="1">
      <alignment horizontal="center"/>
    </xf>
    <xf numFmtId="2" fontId="69" fillId="0" borderId="0" xfId="0" applyNumberFormat="1" applyFont="1" applyFill="1" applyAlignment="1" applyProtection="1">
      <alignment/>
      <protection locked="0"/>
    </xf>
    <xf numFmtId="164" fontId="8" fillId="0" borderId="39" xfId="0" applyNumberFormat="1" applyFont="1" applyFill="1" applyBorder="1" applyAlignment="1">
      <alignment horizontal="right"/>
    </xf>
    <xf numFmtId="164" fontId="8" fillId="0" borderId="34" xfId="0" applyNumberFormat="1" applyFont="1" applyFill="1" applyBorder="1" applyAlignment="1">
      <alignment horizontal="right"/>
    </xf>
    <xf numFmtId="164" fontId="8" fillId="0" borderId="35" xfId="0" applyNumberFormat="1" applyFont="1" applyFill="1" applyBorder="1" applyAlignment="1">
      <alignment horizontal="right"/>
    </xf>
    <xf numFmtId="184" fontId="8" fillId="0" borderId="0" xfId="0" applyNumberFormat="1" applyFont="1" applyFill="1" applyBorder="1" applyAlignment="1">
      <alignment horizontal="right"/>
    </xf>
    <xf numFmtId="184" fontId="8" fillId="0" borderId="18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fill"/>
    </xf>
    <xf numFmtId="1" fontId="8" fillId="0" borderId="0" xfId="0" applyNumberFormat="1" applyFont="1" applyFill="1" applyBorder="1" applyAlignment="1">
      <alignment horizontal="right"/>
    </xf>
    <xf numFmtId="2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/>
      <protection locked="0"/>
    </xf>
    <xf numFmtId="1" fontId="8" fillId="0" borderId="27" xfId="0" applyNumberFormat="1" applyFont="1" applyFill="1" applyBorder="1" applyAlignment="1">
      <alignment horizontal="right"/>
    </xf>
    <xf numFmtId="184" fontId="8" fillId="0" borderId="20" xfId="0" applyNumberFormat="1" applyFont="1" applyFill="1" applyBorder="1" applyAlignment="1">
      <alignment horizontal="right"/>
    </xf>
    <xf numFmtId="184" fontId="8" fillId="0" borderId="21" xfId="0" applyNumberFormat="1" applyFont="1" applyFill="1" applyBorder="1" applyAlignment="1">
      <alignment horizontal="right"/>
    </xf>
    <xf numFmtId="2" fontId="8" fillId="0" borderId="25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2" fontId="29" fillId="39" borderId="22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 horizontal="center"/>
    </xf>
    <xf numFmtId="184" fontId="8" fillId="0" borderId="31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 applyProtection="1">
      <alignment vertical="top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 applyProtection="1">
      <alignment/>
      <protection/>
    </xf>
    <xf numFmtId="165" fontId="69" fillId="0" borderId="0" xfId="0" applyNumberFormat="1" applyFont="1" applyAlignment="1">
      <alignment horizontal="center"/>
    </xf>
    <xf numFmtId="0" fontId="72" fillId="0" borderId="0" xfId="0" applyNumberFormat="1" applyFont="1" applyAlignment="1" applyProtection="1">
      <alignment/>
      <protection locked="0"/>
    </xf>
    <xf numFmtId="2" fontId="70" fillId="0" borderId="0" xfId="0" applyNumberFormat="1" applyFont="1" applyAlignment="1">
      <alignment horizontal="right"/>
    </xf>
    <xf numFmtId="2" fontId="47" fillId="0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 applyProtection="1">
      <alignment vertical="top"/>
      <protection/>
    </xf>
    <xf numFmtId="2" fontId="73" fillId="0" borderId="0" xfId="0" applyNumberFormat="1" applyFont="1" applyFill="1" applyBorder="1" applyAlignment="1" applyProtection="1">
      <alignment/>
      <protection locked="0"/>
    </xf>
    <xf numFmtId="2" fontId="74" fillId="0" borderId="0" xfId="0" applyNumberFormat="1" applyFont="1" applyFill="1" applyBorder="1" applyAlignment="1" applyProtection="1">
      <alignment/>
      <protection locked="0"/>
    </xf>
    <xf numFmtId="2" fontId="25" fillId="0" borderId="0" xfId="0" applyNumberFormat="1" applyFont="1" applyFill="1" applyAlignment="1" applyProtection="1">
      <alignment horizontal="right"/>
      <protection locked="0"/>
    </xf>
    <xf numFmtId="2" fontId="6" fillId="0" borderId="12" xfId="0" applyNumberFormat="1" applyFont="1" applyFill="1" applyBorder="1" applyAlignment="1">
      <alignment/>
    </xf>
    <xf numFmtId="2" fontId="9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Alignment="1" applyProtection="1">
      <alignment horizontal="center"/>
      <protection locked="0"/>
    </xf>
    <xf numFmtId="2" fontId="75" fillId="2" borderId="0" xfId="0" applyNumberFormat="1" applyFont="1" applyFill="1" applyAlignment="1" applyProtection="1">
      <alignment/>
      <protection locked="0"/>
    </xf>
    <xf numFmtId="2" fontId="75" fillId="0" borderId="0" xfId="0" applyNumberFormat="1" applyFont="1" applyFill="1" applyAlignment="1" applyProtection="1">
      <alignment/>
      <protection locked="0"/>
    </xf>
    <xf numFmtId="2" fontId="75" fillId="0" borderId="0" xfId="0" applyFont="1" applyFill="1" applyAlignment="1">
      <alignment/>
    </xf>
    <xf numFmtId="164" fontId="75" fillId="0" borderId="0" xfId="0" applyNumberFormat="1" applyFont="1" applyFill="1" applyAlignment="1">
      <alignment horizontal="center"/>
    </xf>
    <xf numFmtId="2" fontId="76" fillId="0" borderId="0" xfId="0" applyNumberFormat="1" applyFont="1" applyFill="1" applyAlignment="1" applyProtection="1">
      <alignment/>
      <protection locked="0"/>
    </xf>
    <xf numFmtId="2" fontId="76" fillId="0" borderId="0" xfId="0" applyFont="1" applyFill="1" applyAlignment="1">
      <alignment/>
    </xf>
    <xf numFmtId="2" fontId="75" fillId="0" borderId="0" xfId="0" applyFont="1" applyFill="1" applyBorder="1" applyAlignment="1">
      <alignment/>
    </xf>
    <xf numFmtId="164" fontId="75" fillId="0" borderId="0" xfId="0" applyNumberFormat="1" applyFont="1" applyAlignment="1">
      <alignment horizontal="center"/>
    </xf>
    <xf numFmtId="164" fontId="70" fillId="0" borderId="0" xfId="0" applyNumberFormat="1" applyFont="1" applyFill="1" applyAlignment="1" applyProtection="1">
      <alignment horizontal="right"/>
      <protection locked="0"/>
    </xf>
    <xf numFmtId="4" fontId="70" fillId="0" borderId="0" xfId="42" applyNumberFormat="1" applyFont="1" applyBorder="1" applyAlignment="1" quotePrefix="1">
      <alignment horizontal="right"/>
    </xf>
    <xf numFmtId="0" fontId="77" fillId="0" borderId="11" xfId="0" applyNumberFormat="1" applyFont="1" applyBorder="1" applyAlignment="1" applyProtection="1">
      <alignment/>
      <protection locked="0"/>
    </xf>
    <xf numFmtId="0" fontId="77" fillId="0" borderId="11" xfId="0" applyNumberFormat="1" applyFont="1" applyFill="1" applyBorder="1" applyAlignment="1" applyProtection="1">
      <alignment/>
      <protection locked="0"/>
    </xf>
    <xf numFmtId="165" fontId="17" fillId="0" borderId="0" xfId="0" applyNumberFormat="1" applyFont="1" applyBorder="1" applyAlignment="1">
      <alignment horizontal="left"/>
    </xf>
    <xf numFmtId="0" fontId="77" fillId="0" borderId="0" xfId="0" applyNumberFormat="1" applyFont="1" applyBorder="1" applyAlignment="1" applyProtection="1">
      <alignment/>
      <protection locked="0"/>
    </xf>
    <xf numFmtId="0" fontId="77" fillId="0" borderId="0" xfId="0" applyNumberFormat="1" applyFont="1" applyFill="1" applyBorder="1" applyAlignment="1" applyProtection="1">
      <alignment/>
      <protection locked="0"/>
    </xf>
    <xf numFmtId="167" fontId="10" fillId="0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44" fontId="0" fillId="0" borderId="0" xfId="42" applyFont="1" applyFill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2" fontId="0" fillId="0" borderId="13" xfId="0" applyFont="1" applyFill="1" applyBorder="1" applyAlignment="1">
      <alignment horizontal="center"/>
    </xf>
    <xf numFmtId="167" fontId="70" fillId="0" borderId="0" xfId="0" applyNumberFormat="1" applyFont="1" applyFill="1" applyAlignment="1" applyProtection="1">
      <alignment horizontal="right"/>
      <protection locked="0"/>
    </xf>
    <xf numFmtId="44" fontId="78" fillId="0" borderId="0" xfId="42" applyFont="1" applyFill="1" applyBorder="1" applyAlignment="1" applyProtection="1">
      <alignment/>
      <protection locked="0"/>
    </xf>
    <xf numFmtId="44" fontId="78" fillId="0" borderId="0" xfId="42" applyFont="1" applyFill="1" applyBorder="1" applyAlignment="1">
      <alignment horizontal="center"/>
    </xf>
    <xf numFmtId="44" fontId="79" fillId="0" borderId="0" xfId="42" applyFont="1" applyFill="1" applyBorder="1" applyAlignment="1">
      <alignment horizontal="right"/>
    </xf>
    <xf numFmtId="44" fontId="79" fillId="0" borderId="11" xfId="42" applyFont="1" applyFill="1" applyBorder="1" applyAlignment="1">
      <alignment vertical="justify"/>
    </xf>
    <xf numFmtId="10" fontId="0" fillId="0" borderId="40" xfId="0" applyNumberFormat="1" applyFont="1" applyFill="1" applyBorder="1" applyAlignment="1" applyProtection="1">
      <alignment/>
      <protection locked="0"/>
    </xf>
    <xf numFmtId="2" fontId="0" fillId="0" borderId="4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Font="1" applyFill="1" applyBorder="1" applyAlignment="1">
      <alignment horizontal="center"/>
    </xf>
    <xf numFmtId="2" fontId="80" fillId="0" borderId="0" xfId="0" applyFont="1" applyFill="1" applyAlignment="1">
      <alignment horizontal="right"/>
    </xf>
    <xf numFmtId="2" fontId="80" fillId="0" borderId="0" xfId="0" applyNumberFormat="1" applyFont="1" applyFill="1" applyAlignment="1" applyProtection="1">
      <alignment/>
      <protection locked="0"/>
    </xf>
    <xf numFmtId="164" fontId="80" fillId="0" borderId="0" xfId="0" applyNumberFormat="1" applyFont="1" applyFill="1" applyAlignment="1">
      <alignment horizontal="right"/>
    </xf>
    <xf numFmtId="165" fontId="80" fillId="0" borderId="37" xfId="0" applyNumberFormat="1" applyFont="1" applyFill="1" applyBorder="1" applyAlignment="1">
      <alignment horizontal="center"/>
    </xf>
    <xf numFmtId="2" fontId="29" fillId="39" borderId="23" xfId="0" applyNumberFormat="1" applyFont="1" applyFill="1" applyBorder="1" applyAlignment="1" applyProtection="1" quotePrefix="1">
      <alignment horizontal="center"/>
      <protection locked="0"/>
    </xf>
    <xf numFmtId="2" fontId="29" fillId="39" borderId="24" xfId="0" applyNumberFormat="1" applyFont="1" applyFill="1" applyBorder="1" applyAlignment="1" applyProtection="1" quotePrefix="1">
      <alignment horizontal="center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" name="Text Box 3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2" name="Text Box 4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3" name="Text Box 5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" name="Text Box 6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5" name="Text Box 7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6" name="Text Box 8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" name="Text Box 9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8" name="Text Box 10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9" name="Text Box 11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0" name="Text Box 12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11" name="Text Box 13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12" name="Text Box 14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13" name="Text Box 15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14" name="Text Box 16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15" name="Text Box 17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16" name="Text Box 18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17" name="Text Box 19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18" name="Text Box 20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19" name="Text Box 21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20" name="Text Box 22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1" name="Text Box 23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2" name="Text Box 24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3" name="Text Box 25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4" name="Text Box 26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5" name="Text Box 2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26" name="Text Box 28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27" name="Text Box 29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8" name="Text Box 30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29" name="Text Box 31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30" name="Text Box 32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1" name="Text Box 33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32" name="Text Box 34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33" name="Text Box 35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4" name="Text Box 36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35" name="Text Box 37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66675</xdr:rowOff>
    </xdr:from>
    <xdr:ext cx="285750" cy="295275"/>
    <xdr:sp fLocksText="0">
      <xdr:nvSpPr>
        <xdr:cNvPr id="36" name="Text Box 38"/>
        <xdr:cNvSpPr txBox="1">
          <a:spLocks noChangeArrowheads="1"/>
        </xdr:cNvSpPr>
      </xdr:nvSpPr>
      <xdr:spPr>
        <a:xfrm>
          <a:off x="10553700" y="295560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37" name="Text Box 39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38" name="Text Box 40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39" name="Text Box 41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40" name="Text Box 42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41" name="Text Box 43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42" name="Text Box 44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43" name="Text Box 45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66675</xdr:rowOff>
    </xdr:from>
    <xdr:ext cx="285750" cy="295275"/>
    <xdr:sp fLocksText="0">
      <xdr:nvSpPr>
        <xdr:cNvPr id="44" name="Text Box 46"/>
        <xdr:cNvSpPr txBox="1">
          <a:spLocks noChangeArrowheads="1"/>
        </xdr:cNvSpPr>
      </xdr:nvSpPr>
      <xdr:spPr>
        <a:xfrm>
          <a:off x="10553700" y="28432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5" name="Text Box 47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6" name="Text Box 4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7" name="Text Box 4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8" name="Text Box 5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9" name="Text Box 5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50" name="Text Box 52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51" name="Text Box 53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2" name="Text Box 5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53" name="Text Box 55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54" name="Text Box 56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5" name="Text Box 5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56" name="Text Box 58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57" name="Text Box 59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8" name="Text Box 60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59" name="Text Box 61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60" name="Text Box 62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61" name="Text Box 63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62" name="Text Box 64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63" name="Text Box 65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64" name="Text Box 66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65" name="Text Box 67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66" name="Text Box 68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67" name="Text Box 69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68" name="Text Box 70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9" name="Text Box 7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0" name="Text Box 72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1" name="Text Box 73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2" name="Text Box 74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3" name="Text Box 75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74" name="Text Box 76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75" name="Text Box 77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6" name="Text Box 7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77" name="Text Box 79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78" name="Text Box 80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9" name="Text Box 8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80" name="Text Box 82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81" name="Text Box 83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2" name="Text Box 8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83" name="Text Box 85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84" name="Text Box 86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85" name="Text Box 87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86" name="Text Box 88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87" name="Text Box 89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88" name="Text Box 90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89" name="Text Box 91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90" name="Text Box 92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91" name="Text Box 93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92" name="Text Box 94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3" name="Text Box 95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4" name="Text Box 96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5" name="Text Box 97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6" name="Text Box 9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7" name="Text Box 99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98" name="Text Box 100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99" name="Text Box 101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00" name="Text Box 102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01" name="Text Box 103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02" name="Text Box 104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03" name="Text Box 105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04" name="Text Box 106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05" name="Text Box 107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06" name="Text Box 10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07" name="Text Box 109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08" name="Text Box 110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09" name="Text Box 111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10" name="Text Box 112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11" name="Text Box 113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12" name="Text Box 114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13" name="Text Box 115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14" name="Text Box 116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15" name="Text Box 117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16" name="Text Box 118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17" name="Text Box 11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18" name="Text Box 12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19" name="Text Box 12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20" name="Text Box 122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21" name="Text Box 123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22" name="Text Box 124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23" name="Text Box 125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24" name="Text Box 126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25" name="Text Box 127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26" name="Text Box 128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27" name="Text Box 129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28" name="Text Box 130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29" name="Text Box 131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30" name="Text Box 132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31" name="Text Box 133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95250</xdr:rowOff>
    </xdr:from>
    <xdr:ext cx="285750" cy="304800"/>
    <xdr:sp fLocksText="0">
      <xdr:nvSpPr>
        <xdr:cNvPr id="132" name="Text Box 134"/>
        <xdr:cNvSpPr txBox="1">
          <a:spLocks noChangeArrowheads="1"/>
        </xdr:cNvSpPr>
      </xdr:nvSpPr>
      <xdr:spPr>
        <a:xfrm>
          <a:off x="10553700" y="295846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33" name="Text Box 135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34" name="Text Box 136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35" name="Text Box 137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36" name="Text Box 138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37" name="Text Box 139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38" name="Text Box 140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39" name="Text Box 141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95250</xdr:rowOff>
    </xdr:from>
    <xdr:ext cx="285750" cy="304800"/>
    <xdr:sp fLocksText="0">
      <xdr:nvSpPr>
        <xdr:cNvPr id="140" name="Text Box 142"/>
        <xdr:cNvSpPr txBox="1">
          <a:spLocks noChangeArrowheads="1"/>
        </xdr:cNvSpPr>
      </xdr:nvSpPr>
      <xdr:spPr>
        <a:xfrm>
          <a:off x="10553700" y="284607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41" name="Text Box 143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42" name="Text Box 144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43" name="Text Box 145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44" name="Text Box 146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45" name="Text Box 14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46" name="Text Box 148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47" name="Text Box 149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48" name="Text Box 150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49" name="Text Box 151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50" name="Text Box 152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51" name="Text Box 153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52" name="Text Box 154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53" name="Text Box 155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54" name="Text Box 156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55" name="Text Box 157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56" name="Text Box 158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57" name="Text Box 159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58" name="Text Box 160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59" name="Text Box 161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60" name="Text Box 162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61" name="Text Box 163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62" name="Text Box 164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63" name="Text Box 165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64" name="Text Box 166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65" name="Text Box 167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66" name="Text Box 16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67" name="Text Box 16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68" name="Text Box 17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69" name="Text Box 171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70" name="Text Box 17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71" name="Text Box 17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72" name="Text Box 17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73" name="Text Box 175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74" name="Text Box 176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75" name="Text Box 177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76" name="Text Box 17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77" name="Text Box 179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78" name="Text Box 180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79" name="Text Box 18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80" name="Text Box 182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81" name="Text Box 183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82" name="Text Box 18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83" name="Text Box 185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184" name="Text Box 186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85" name="Text Box 187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86" name="Text Box 188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87" name="Text Box 189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88" name="Text Box 190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89" name="Text Box 191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90" name="Text Box 192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91" name="Text Box 193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192" name="Text Box 194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93" name="Text Box 195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94" name="Text Box 196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95" name="Text Box 197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96" name="Text Box 19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97" name="Text Box 199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98" name="Text Box 200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99" name="Text Box 201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00" name="Text Box 20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01" name="Text Box 203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02" name="Text Box 204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03" name="Text Box 205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04" name="Text Box 206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05" name="Text Box 207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06" name="Text Box 208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07" name="Text Box 209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08" name="Text Box 210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09" name="Text Box 211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10" name="Text Box 212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11" name="Text Box 213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12" name="Text Box 214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13" name="Text Box 215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14" name="Text Box 216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15" name="Text Box 217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16" name="Text Box 218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17" name="Text Box 219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18" name="Text Box 220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19" name="Text Box 221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20" name="Text Box 222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21" name="Text Box 223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22" name="Text Box 224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23" name="Text Box 225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24" name="Text Box 226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25" name="Text Box 227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26" name="Text Box 228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27" name="Text Box 229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28" name="Text Box 230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29" name="Text Box 23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30" name="Text Box 232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31" name="Text Box 233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32" name="Text Box 23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33" name="Text Box 235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34" name="Text Box 236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35" name="Text Box 23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36" name="Text Box 238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37" name="Text Box 239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38" name="Text Box 240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39" name="Text Box 241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133350</xdr:rowOff>
    </xdr:from>
    <xdr:ext cx="285750" cy="276225"/>
    <xdr:sp fLocksText="0">
      <xdr:nvSpPr>
        <xdr:cNvPr id="240" name="Text Box 242"/>
        <xdr:cNvSpPr txBox="1">
          <a:spLocks noChangeArrowheads="1"/>
        </xdr:cNvSpPr>
      </xdr:nvSpPr>
      <xdr:spPr>
        <a:xfrm>
          <a:off x="10553700" y="296227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41" name="Text Box 243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42" name="Text Box 244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43" name="Text Box 245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44" name="Text Box 246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45" name="Text Box 247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46" name="Text Box 248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47" name="Text Box 249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133350</xdr:rowOff>
    </xdr:from>
    <xdr:ext cx="285750" cy="276225"/>
    <xdr:sp fLocksText="0">
      <xdr:nvSpPr>
        <xdr:cNvPr id="248" name="Text Box 250"/>
        <xdr:cNvSpPr txBox="1">
          <a:spLocks noChangeArrowheads="1"/>
        </xdr:cNvSpPr>
      </xdr:nvSpPr>
      <xdr:spPr>
        <a:xfrm>
          <a:off x="10553700" y="284988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49" name="Text Box 25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50" name="Text Box 252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51" name="Text Box 253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52" name="Text Box 254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53" name="Text Box 25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54" name="Text Box 256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55" name="Text Box 257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56" name="Text Box 258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57" name="Text Box 259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58" name="Text Box 26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59" name="Text Box 261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60" name="Text Box 262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61" name="Text Box 26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62" name="Text Box 26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63" name="Text Box 265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64" name="Text Box 26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65" name="Text Box 26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66" name="Text Box 26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67" name="Text Box 26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68" name="Text Box 27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269" name="Text Box 27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270" name="Text Box 27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271" name="Text Box 27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272" name="Text Box 27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273" name="Text Box 27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274" name="Text Box 27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275" name="Text Box 27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276" name="Text Box 278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77" name="Text Box 27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78" name="Text Box 28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79" name="Text Box 28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280" name="Text Box 282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81" name="Text Box 28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82" name="Text Box 28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83" name="Text Box 28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284" name="Text Box 286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85" name="Text Box 28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86" name="Text Box 28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87" name="Text Box 28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88" name="Text Box 290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89" name="Text Box 291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90" name="Text Box 29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91" name="Text Box 293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92" name="Text Box 29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93" name="Text Box 29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294" name="Text Box 296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95" name="Text Box 29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296" name="Text Box 29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297" name="Text Box 299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298" name="Text Box 30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299" name="Text Box 30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00" name="Text Box 30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01" name="Text Box 30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02" name="Text Box 30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03" name="Text Box 30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04" name="Text Box 30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05" name="Text Box 307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06" name="Text Box 30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07" name="Text Box 30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08" name="Text Box 31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09" name="Text Box 311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10" name="Text Box 31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11" name="Text Box 31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12" name="Text Box 31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13" name="Text Box 315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14" name="Text Box 3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15" name="Text Box 31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16" name="Text Box 31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17" name="Text Box 3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18" name="Text Box 32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19" name="Text Box 32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20" name="Text Box 32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21" name="Text Box 32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22" name="Text Box 32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23" name="Text Box 32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24" name="Text Box 32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25" name="Text Box 3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26" name="Text Box 328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27" name="Text Box 329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28" name="Text Box 33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29" name="Text Box 33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30" name="Text Box 33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31" name="Text Box 33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32" name="Text Box 33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33" name="Text Box 335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34" name="Text Box 336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35" name="Text Box 337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36" name="Text Box 33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37" name="Text Box 339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38" name="Text Box 340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39" name="Text Box 341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40" name="Text Box 34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41" name="Text Box 343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42" name="Text Box 34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43" name="Text Box 34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44" name="Text Box 346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45" name="Text Box 34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46" name="Text Box 34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47" name="Text Box 349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48" name="Text Box 35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49" name="Text Box 351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50" name="Text Box 352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51" name="Text Box 35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52" name="Text Box 35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53" name="Text Box 35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54" name="Text Box 35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55" name="Text Box 35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56" name="Text Box 358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57" name="Text Box 359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58" name="Text Box 36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59" name="Text Box 36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60" name="Text Box 36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61" name="Text Box 363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62" name="Text Box 364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63" name="Text Box 365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64" name="Text Box 366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65" name="Text Box 367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66" name="Text Box 368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67" name="Text Box 369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68" name="Text Box 370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69" name="Text Box 37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70" name="Text Box 37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71" name="Text Box 37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72" name="Text Box 37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73" name="Text Box 37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74" name="Text Box 37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75" name="Text Box 37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76" name="Text Box 37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77" name="Text Box 37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78" name="Text Box 380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79" name="Text Box 381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80" name="Text Box 38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81" name="Text Box 38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82" name="Text Box 38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83" name="Text Box 38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84" name="Text Box 38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85" name="Text Box 38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86" name="Text Box 388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87" name="Text Box 389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388" name="Text Box 39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89" name="Text Box 39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90" name="Text Box 392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91" name="Text Box 393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392" name="Text Box 394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93" name="Text Box 39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94" name="Text Box 396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95" name="Text Box 397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396" name="Text Box 398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397" name="Text Box 399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98" name="Text Box 40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399" name="Text Box 401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00" name="Text Box 402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01" name="Text Box 40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02" name="Text Box 40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03" name="Text Box 405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04" name="Text Box 40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05" name="Text Box 40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06" name="Text Box 40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07" name="Text Box 40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08" name="Text Box 4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09" name="Text Box 41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10" name="Text Box 41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11" name="Text Box 41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12" name="Text Box 41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13" name="Text Box 41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14" name="Text Box 41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15" name="Text Box 41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16" name="Text Box 418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17" name="Text Box 41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18" name="Text Box 42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19" name="Text Box 42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20" name="Text Box 422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21" name="Text Box 42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22" name="Text Box 42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23" name="Text Box 42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24" name="Text Box 426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25" name="Text Box 42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26" name="Text Box 42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27" name="Text Box 42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28" name="Text Box 430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29" name="Text Box 431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30" name="Text Box 43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31" name="Text Box 433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32" name="Text Box 43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33" name="Text Box 43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34" name="Text Box 436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35" name="Text Box 43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36" name="Text Box 43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37" name="Text Box 439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38" name="Text Box 44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39" name="Text Box 44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40" name="Text Box 44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41" name="Text Box 44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42" name="Text Box 44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43" name="Text Box 44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44" name="Text Box 44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45" name="Text Box 447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46" name="Text Box 44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47" name="Text Box 44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48" name="Text Box 45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49" name="Text Box 451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50" name="Text Box 45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51" name="Text Box 45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52" name="Text Box 45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53" name="Text Box 455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54" name="Text Box 45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55" name="Text Box 45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56" name="Text Box 45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57" name="Text Box 45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58" name="Text Box 46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59" name="Text Box 46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60" name="Text Box 46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61" name="Text Box 46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62" name="Text Box 46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63" name="Text Box 46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64" name="Text Box 46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65" name="Text Box 46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66" name="Text Box 468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67" name="Text Box 469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68" name="Text Box 47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69" name="Text Box 47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70" name="Text Box 47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71" name="Text Box 47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72" name="Text Box 47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73" name="Text Box 475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74" name="Text Box 476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75" name="Text Box 477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476" name="Text Box 47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77" name="Text Box 479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78" name="Text Box 480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79" name="Text Box 481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480" name="Text Box 48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81" name="Text Box 483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82" name="Text Box 48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83" name="Text Box 48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84" name="Text Box 486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85" name="Text Box 48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86" name="Text Box 48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87" name="Text Box 489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88" name="Text Box 49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89" name="Text Box 491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490" name="Text Box 492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91" name="Text Box 49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492" name="Text Box 49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93" name="Text Box 49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94" name="Text Box 49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95" name="Text Box 49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96" name="Text Box 498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97" name="Text Box 499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98" name="Text Box 50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499" name="Text Box 50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00" name="Text Box 50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01" name="Text Box 503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02" name="Text Box 504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03" name="Text Box 505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04" name="Text Box 506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05" name="Text Box 507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06" name="Text Box 508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07" name="Text Box 509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08" name="Text Box 510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09" name="Text Box 5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10" name="Text Box 5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11" name="Text Box 5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12" name="Text Box 5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13" name="Text Box 5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14" name="Text Box 5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15" name="Text Box 5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16" name="Text Box 5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17" name="Text Box 5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18" name="Text Box 520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19" name="Text Box 521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20" name="Text Box 52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21" name="Text Box 5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22" name="Text Box 5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23" name="Text Box 5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24" name="Text Box 5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25" name="Text Box 5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26" name="Text Box 528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27" name="Text Box 529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28" name="Text Box 53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29" name="Text Box 5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30" name="Text Box 532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31" name="Text Box 533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32" name="Text Box 534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33" name="Text Box 5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34" name="Text Box 536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35" name="Text Box 537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36" name="Text Box 538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37" name="Text Box 539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38" name="Text Box 54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39" name="Text Box 541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40" name="Text Box 542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41" name="Text Box 54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42" name="Text Box 54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43" name="Text Box 545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44" name="Text Box 54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45" name="Text Box 54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46" name="Text Box 54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47" name="Text Box 54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48" name="Text Box 55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49" name="Text Box 55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50" name="Text Box 55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51" name="Text Box 55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52" name="Text Box 55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53" name="Text Box 55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54" name="Text Box 55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55" name="Text Box 55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56" name="Text Box 558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57" name="Text Box 55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58" name="Text Box 56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59" name="Text Box 56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60" name="Text Box 562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61" name="Text Box 56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62" name="Text Box 56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63" name="Text Box 56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64" name="Text Box 566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65" name="Text Box 56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66" name="Text Box 56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67" name="Text Box 56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68" name="Text Box 570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69" name="Text Box 571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70" name="Text Box 57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71" name="Text Box 573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72" name="Text Box 57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73" name="Text Box 57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74" name="Text Box 576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75" name="Text Box 57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76" name="Text Box 57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77" name="Text Box 579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78" name="Text Box 58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79" name="Text Box 58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80" name="Text Box 58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81" name="Text Box 58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82" name="Text Box 58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83" name="Text Box 58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584" name="Text Box 58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85" name="Text Box 587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86" name="Text Box 58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87" name="Text Box 58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588" name="Text Box 59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89" name="Text Box 591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90" name="Text Box 59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91" name="Text Box 59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592" name="Text Box 59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93" name="Text Box 595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94" name="Text Box 59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95" name="Text Box 59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96" name="Text Box 59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97" name="Text Box 59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598" name="Text Box 60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599" name="Text Box 60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00" name="Text Box 60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01" name="Text Box 60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02" name="Text Box 60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03" name="Text Box 60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04" name="Text Box 60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05" name="Text Box 60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06" name="Text Box 608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07" name="Text Box 609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08" name="Text Box 61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09" name="Text Box 61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10" name="Text Box 61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11" name="Text Box 61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12" name="Text Box 61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13" name="Text Box 615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14" name="Text Box 616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15" name="Text Box 617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16" name="Text Box 61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17" name="Text Box 619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18" name="Text Box 620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19" name="Text Box 621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20" name="Text Box 62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21" name="Text Box 623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22" name="Text Box 62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23" name="Text Box 62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24" name="Text Box 626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25" name="Text Box 627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26" name="Text Box 62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27" name="Text Box 629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28" name="Text Box 63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29" name="Text Box 631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30" name="Text Box 632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31" name="Text Box 63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32" name="Text Box 634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33" name="Text Box 63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34" name="Text Box 63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35" name="Text Box 63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36" name="Text Box 638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37" name="Text Box 639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38" name="Text Box 64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39" name="Text Box 64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40" name="Text Box 64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41" name="Text Box 643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42" name="Text Box 644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43" name="Text Box 645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44" name="Text Box 646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45" name="Text Box 647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46" name="Text Box 648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47" name="Text Box 649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48" name="Text Box 650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49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50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51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52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53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54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55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56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57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58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59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60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61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62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63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64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65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66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67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68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69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70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71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72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73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74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75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676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77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78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79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80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81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82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83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84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85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686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87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688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89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90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91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92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93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94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95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696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97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98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699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00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01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02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03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04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05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06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07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08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09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10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11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12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13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14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15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16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17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18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19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20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21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22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23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24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25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26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27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28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29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30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31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32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33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34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35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36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37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38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39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40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41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42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43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44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45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46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47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48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49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50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51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52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53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54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55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56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57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58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59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60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61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62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63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64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65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66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67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68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69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70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71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72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73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74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75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76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77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78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79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780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81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82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83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784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85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86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87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788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89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90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91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92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93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94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95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96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97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798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799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00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01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02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03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04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05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06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07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08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09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10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11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12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13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14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15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16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17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18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19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20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21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22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23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24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25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26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27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28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29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30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31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32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33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34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35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36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37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38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39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40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41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42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43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44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45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46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47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48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49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50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51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52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53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54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55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56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57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58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59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60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61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62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63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64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65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66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67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68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69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70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71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72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73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74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75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76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77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78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79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80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81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882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83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884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85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86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87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88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89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90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91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892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93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94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95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896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97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98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899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00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01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02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03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04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05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06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07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08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09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10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11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12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13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14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15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16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17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18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19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20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21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22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23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24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25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26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27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28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29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30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31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32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33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34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35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36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37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38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39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40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41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42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43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44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45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46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47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48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49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50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51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52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53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54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55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56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57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58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59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60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61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62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63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64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65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66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67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68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69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70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71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72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73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74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75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76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77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78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79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980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81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82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83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984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85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86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87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88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89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90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91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92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93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994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95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996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97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98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999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00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01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02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03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04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05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06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07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08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009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010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011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012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013" name="Text Box 8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1014" name="Text Box 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1015" name="Text Box 10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016" name="Text Box 11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1017" name="Text Box 12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1018" name="Text Box 13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019" name="Text Box 14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1020" name="Text Box 15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1021" name="Text Box 16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228600</xdr:rowOff>
    </xdr:from>
    <xdr:ext cx="285750" cy="228600"/>
    <xdr:sp fLocksText="0">
      <xdr:nvSpPr>
        <xdr:cNvPr id="1022" name="Text Box 17"/>
        <xdr:cNvSpPr txBox="1">
          <a:spLocks noChangeArrowheads="1"/>
        </xdr:cNvSpPr>
      </xdr:nvSpPr>
      <xdr:spPr>
        <a:xfrm>
          <a:off x="105537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1023" name="Text Box 18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171450</xdr:rowOff>
    </xdr:from>
    <xdr:ext cx="285750" cy="266700"/>
    <xdr:sp fLocksText="0">
      <xdr:nvSpPr>
        <xdr:cNvPr id="1024" name="Text Box 19"/>
        <xdr:cNvSpPr txBox="1">
          <a:spLocks noChangeArrowheads="1"/>
        </xdr:cNvSpPr>
      </xdr:nvSpPr>
      <xdr:spPr>
        <a:xfrm>
          <a:off x="10553700" y="296608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25" name="Text Box 20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26" name="Text Box 21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27" name="Text Box 22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28" name="Text Box 23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29" name="Text Box 24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30" name="Text Box 25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31" name="Text Box 26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171450</xdr:rowOff>
    </xdr:from>
    <xdr:ext cx="285750" cy="266700"/>
    <xdr:sp fLocksText="0">
      <xdr:nvSpPr>
        <xdr:cNvPr id="1032" name="Text Box 27"/>
        <xdr:cNvSpPr txBox="1">
          <a:spLocks noChangeArrowheads="1"/>
        </xdr:cNvSpPr>
      </xdr:nvSpPr>
      <xdr:spPr>
        <a:xfrm>
          <a:off x="10553700" y="285369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33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34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35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36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037" name="Text Box 32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038" name="Text Box 33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039" name="Text Box 34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228600</xdr:rowOff>
    </xdr:from>
    <xdr:ext cx="285750" cy="228600"/>
    <xdr:sp fLocksText="0">
      <xdr:nvSpPr>
        <xdr:cNvPr id="1040" name="Text Box 35"/>
        <xdr:cNvSpPr txBox="1">
          <a:spLocks noChangeArrowheads="1"/>
        </xdr:cNvSpPr>
      </xdr:nvSpPr>
      <xdr:spPr>
        <a:xfrm>
          <a:off x="10553700" y="2859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41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42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43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44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45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46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47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48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49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50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51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52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53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54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55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56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57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58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59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60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61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62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63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64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65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66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67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68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69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70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71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72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73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74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75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76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77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78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79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80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81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82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83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84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85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86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87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88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89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90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91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92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93" name="Text Box 28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94" name="Text Box 29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95" name="Text Box 30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228600</xdr:rowOff>
    </xdr:from>
    <xdr:ext cx="285750" cy="228600"/>
    <xdr:sp fLocksText="0">
      <xdr:nvSpPr>
        <xdr:cNvPr id="1096" name="Text Box 31"/>
        <xdr:cNvSpPr txBox="1">
          <a:spLocks noChangeArrowheads="1"/>
        </xdr:cNvSpPr>
      </xdr:nvSpPr>
      <xdr:spPr>
        <a:xfrm>
          <a:off x="6248400" y="294894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0" name="Text Box 2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1" name="Text Box 2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2" name="Text Box 2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3" name="Text Box 2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4" name="Text Box 2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5" name="Text Box 2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6" name="Text Box 2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7" name="Text Box 2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8" name="Text Box 2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30" name="Text Box 3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31" name="Text Box 3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32" name="Text Box 3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33" name="Text Box 3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34" name="Text Box 3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35" name="Text Box 3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36" name="Text Box 3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37" name="Text Box 3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38" name="Text Box 3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39" name="Text Box 3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40" name="Text Box 4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41" name="Text Box 4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42" name="Text Box 4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43" name="Text Box 4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44" name="Text Box 4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45" name="Text Box 4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46" name="Text Box 4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47" name="Text Box 4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48" name="Text Box 4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49" name="Text Box 4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50" name="Text Box 5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51" name="Text Box 5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52" name="Text Box 5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53" name="Text Box 5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54" name="Text Box 5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55" name="Text Box 5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56" name="Text Box 5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57" name="Text Box 5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58" name="Text Box 5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59" name="Text Box 5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60" name="Text Box 6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61" name="Text Box 6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62" name="Text Box 6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63" name="Text Box 6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64" name="Text Box 6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65" name="Text Box 6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66" name="Text Box 6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67" name="Text Box 6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68" name="Text Box 6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69" name="Text Box 6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0" name="Text Box 7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1" name="Text Box 7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2" name="Text Box 7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3" name="Text Box 7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4" name="Text Box 7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5" name="Text Box 7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6" name="Text Box 7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7" name="Text Box 7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8" name="Text Box 7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9" name="Text Box 7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0" name="Text Box 8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1" name="Text Box 8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2" name="Text Box 8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3" name="Text Box 8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4" name="Text Box 8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5" name="Text Box 8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6" name="Text Box 8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7" name="Text Box 8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8" name="Text Box 8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9" name="Text Box 8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0" name="Text Box 9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1" name="Text Box 9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2" name="Text Box 9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3" name="Text Box 9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4" name="Text Box 9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5" name="Text Box 9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6" name="Text Box 9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7" name="Text Box 9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8" name="Text Box 9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9" name="Text Box 9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00" name="Text Box 10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01" name="Text Box 10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02" name="Text Box 10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03" name="Text Box 10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04" name="Text Box 10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05" name="Text Box 10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06" name="Text Box 10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07" name="Text Box 10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08" name="Text Box 10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09" name="Text Box 10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10" name="Text Box 11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11" name="Text Box 11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12" name="Text Box 11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13" name="Text Box 11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14" name="Text Box 11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15" name="Text Box 11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16" name="Text Box 11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17" name="Text Box 11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18" name="Text Box 11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19" name="Text Box 11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20" name="Text Box 12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21" name="Text Box 12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22" name="Text Box 12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23" name="Text Box 12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24" name="Text Box 12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25" name="Text Box 12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26" name="Text Box 12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27" name="Text Box 12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28" name="Text Box 12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29" name="Text Box 12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30" name="Text Box 13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31" name="Text Box 13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32" name="Text Box 13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33" name="Text Box 13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34" name="Text Box 13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35" name="Text Box 13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36" name="Text Box 13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37" name="Text Box 13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38" name="Text Box 13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39" name="Text Box 13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40" name="Text Box 14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41" name="Text Box 14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42" name="Text Box 14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43" name="Text Box 14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44" name="Text Box 14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45" name="Text Box 14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46" name="Text Box 14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47" name="Text Box 14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48" name="Text Box 14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49" name="Text Box 14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50" name="Text Box 15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51" name="Text Box 15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52" name="Text Box 15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53" name="Text Box 15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54" name="Text Box 15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55" name="Text Box 15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56" name="Text Box 15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57" name="Text Box 15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58" name="Text Box 15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59" name="Text Box 15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60" name="Text Box 16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61" name="Text Box 16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62" name="Text Box 16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63" name="Text Box 16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64" name="Text Box 16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65" name="Text Box 16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66" name="Text Box 16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67" name="Text Box 16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68" name="Text Box 16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69" name="Text Box 16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70" name="Text Box 17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71" name="Text Box 17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72" name="Text Box 17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73" name="Text Box 17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74" name="Text Box 17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75" name="Text Box 17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76" name="Text Box 17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77" name="Text Box 17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78" name="Text Box 17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79" name="Text Box 17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80" name="Text Box 18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81" name="Text Box 18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82" name="Text Box 18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83" name="Text Box 18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84" name="Text Box 18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85" name="Text Box 18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86" name="Text Box 18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87" name="Text Box 18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88" name="Text Box 18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89" name="Text Box 18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90" name="Text Box 19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91" name="Text Box 19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92" name="Text Box 19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93" name="Text Box 19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94" name="Text Box 19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95" name="Text Box 19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96" name="Text Box 19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97" name="Text Box 19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198" name="Text Box 19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199" name="Text Box 19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00" name="Text Box 20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01" name="Text Box 20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02" name="Text Box 20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03" name="Text Box 20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04" name="Text Box 20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05" name="Text Box 20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06" name="Text Box 20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07" name="Text Box 20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08" name="Text Box 20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09" name="Text Box 20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10" name="Text Box 21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11" name="Text Box 21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12" name="Text Box 21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13" name="Text Box 21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14" name="Text Box 21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15" name="Text Box 21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16" name="Text Box 21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17" name="Text Box 21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18" name="Text Box 21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19" name="Text Box 21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20" name="Text Box 22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21" name="Text Box 22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22" name="Text Box 22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23" name="Text Box 22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24" name="Text Box 22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25" name="Text Box 22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26" name="Text Box 22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27" name="Text Box 22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28" name="Text Box 22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29" name="Text Box 22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30" name="Text Box 23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31" name="Text Box 23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32" name="Text Box 23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33" name="Text Box 23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34" name="Text Box 23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35" name="Text Box 23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36" name="Text Box 23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37" name="Text Box 23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38" name="Text Box 23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39" name="Text Box 23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40" name="Text Box 24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41" name="Text Box 24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42" name="Text Box 24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43" name="Text Box 24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44" name="Text Box 24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45" name="Text Box 24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46" name="Text Box 24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47" name="Text Box 24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48" name="Text Box 24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49" name="Text Box 24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50" name="Text Box 25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51" name="Text Box 25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52" name="Text Box 25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53" name="Text Box 25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54" name="Text Box 25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55" name="Text Box 25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56" name="Text Box 25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57" name="Text Box 25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58" name="Text Box 25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59" name="Text Box 25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60" name="Text Box 26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61" name="Text Box 26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62" name="Text Box 26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63" name="Text Box 26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64" name="Text Box 26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65" name="Text Box 26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66" name="Text Box 26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67" name="Text Box 26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68" name="Text Box 26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69" name="Text Box 26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70" name="Text Box 27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271" name="Text Box 27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72" name="Text Box 27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273" name="Text Box 27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274" name="Text Box 274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277" name="Text Box 277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280" name="Text Box 280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283" name="Text Box 283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286" name="Text Box 286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289" name="Text Box 289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292" name="Text Box 292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295" name="Text Box 295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298" name="Text Box 298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01" name="Text Box 301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04" name="Text Box 304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07" name="Text Box 307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10" name="Text Box 310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13" name="Text Box 313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16" name="Text Box 316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19" name="Text Box 319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22" name="Text Box 322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25" name="Text Box 325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28" name="Text Box 328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31" name="Text Box 331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34" name="Text Box 334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37" name="Text Box 337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40" name="Text Box 340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43" name="Text Box 343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46" name="Text Box 346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49" name="Text Box 349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52" name="Text Box 352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355" name="Text Box 355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358" name="Text Box 358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359" name="Text Box 359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360" name="Text Box 360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361" name="Text Box 361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362" name="Text Box 362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363" name="Text Box 363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364" name="Text Box 364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365" name="Text Box 365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366" name="Text Box 366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367" name="Text Box 367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368" name="Text Box 368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369" name="Text Box 369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370" name="Text Box 370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71" name="Text Box 37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72" name="Text Box 37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373" name="Text Box 373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74" name="Text Box 37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75" name="Text Box 37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376" name="Text Box 376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77" name="Text Box 37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78" name="Text Box 37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379" name="Text Box 379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80" name="Text Box 38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81" name="Text Box 38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382" name="Text Box 382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83" name="Text Box 38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84" name="Text Box 38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385" name="Text Box 385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86" name="Text Box 38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87" name="Text Box 38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388" name="Text Box 388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89" name="Text Box 38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90" name="Text Box 39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391" name="Text Box 391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92" name="Text Box 39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93" name="Text Box 39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394" name="Text Box 394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95" name="Text Box 39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96" name="Text Box 39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397" name="Text Box 397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98" name="Text Box 39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399" name="Text Box 39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400" name="Text Box 400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01" name="Text Box 40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02" name="Text Box 40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403" name="Text Box 403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04" name="Text Box 40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05" name="Text Box 40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406" name="Text Box 406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07" name="Text Box 40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08" name="Text Box 40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409" name="Text Box 409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10" name="Text Box 41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11" name="Text Box 41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412" name="Text Box 412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13" name="Text Box 41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14" name="Text Box 41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415" name="Text Box 415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16" name="Text Box 41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17" name="Text Box 41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418" name="Text Box 418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19" name="Text Box 41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20" name="Text Box 42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421" name="Text Box 421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22" name="Text Box 42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23" name="Text Box 42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424" name="Text Box 424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25" name="Text Box 42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26" name="Text Box 42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427" name="Text Box 427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28" name="Text Box 42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429" name="Text Box 42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30" name="Text Box 430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31" name="Text Box 431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32" name="Text Box 432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33" name="Text Box 433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34" name="Text Box 434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35" name="Text Box 435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36" name="Text Box 436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37" name="Text Box 437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38" name="Text Box 438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39" name="Text Box 439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40" name="Text Box 440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41" name="Text Box 441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42" name="Text Box 442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43" name="Text Box 443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44" name="Text Box 444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45" name="Text Box 445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46" name="Text Box 446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47" name="Text Box 447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48" name="Text Box 448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49" name="Text Box 449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50" name="Text Box 450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51" name="Text Box 451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52" name="Text Box 452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53" name="Text Box 453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54" name="Text Box 454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55" name="Text Box 455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56" name="Text Box 456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57" name="Text Box 457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58" name="Text Box 458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59" name="Text Box 459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60" name="Text Box 460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61" name="Text Box 461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62" name="Text Box 462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463" name="Text Box 463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64" name="Text Box 464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465" name="Text Box 465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466" name="Text Box 466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467" name="Text Box 467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468" name="Text Box 468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469" name="Text Box 469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470" name="Text Box 470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471" name="Text Box 471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472" name="Text Box 472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473" name="Text Box 473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474" name="Text Box 474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475" name="Text Box 475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476" name="Text Box 476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477" name="Text Box 477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478" name="Text Box 478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79" name="Text Box 47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80" name="Text Box 48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481" name="Text Box 481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82" name="Text Box 48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83" name="Text Box 48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484" name="Text Box 484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85" name="Text Box 48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86" name="Text Box 48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487" name="Text Box 487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88" name="Text Box 48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89" name="Text Box 48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490" name="Text Box 490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91" name="Text Box 49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92" name="Text Box 49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493" name="Text Box 493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94" name="Text Box 49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95" name="Text Box 49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496" name="Text Box 496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97" name="Text Box 49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498" name="Text Box 49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499" name="Text Box 499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500" name="Text Box 50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501" name="Text Box 50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502" name="Text Box 502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503" name="Text Box 50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504" name="Text Box 50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505" name="Text Box 505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506" name="Text Box 50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507" name="Text Box 50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508" name="Text Box 508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509" name="Text Box 50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510" name="Text Box 51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511" name="Text Box 511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512" name="Text Box 51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513" name="Text Box 51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514" name="Text Box 514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515" name="Text Box 515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516" name="Text Box 516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517" name="Text Box 517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518" name="Text Box 518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519" name="Text Box 519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520" name="Text Box 520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521" name="Text Box 521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522" name="Text Box 522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523" name="Text Box 523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524" name="Text Box 524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525" name="Text Box 525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26" name="Text Box 526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27" name="Text Box 52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28" name="Text Box 52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29" name="Text Box 529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30" name="Text Box 53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31" name="Text Box 53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32" name="Text Box 532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33" name="Text Box 53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34" name="Text Box 53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35" name="Text Box 535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36" name="Text Box 53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37" name="Text Box 53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38" name="Text Box 538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39" name="Text Box 53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40" name="Text Box 54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41" name="Text Box 541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42" name="Text Box 54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43" name="Text Box 54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44" name="Text Box 544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45" name="Text Box 54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46" name="Text Box 54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47" name="Text Box 547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48" name="Text Box 54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49" name="Text Box 54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50" name="Text Box 550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51" name="Text Box 55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52" name="Text Box 55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53" name="Text Box 553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54" name="Text Box 55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55" name="Text Box 55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56" name="Text Box 556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57" name="Text Box 55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58" name="Text Box 55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559" name="Text Box 559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60" name="Text Box 56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561" name="Text Box 56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276225" cy="361950"/>
    <xdr:sp fLocksText="0">
      <xdr:nvSpPr>
        <xdr:cNvPr id="562" name="Text Box 562"/>
        <xdr:cNvSpPr txBox="1">
          <a:spLocks noChangeArrowheads="1"/>
        </xdr:cNvSpPr>
      </xdr:nvSpPr>
      <xdr:spPr>
        <a:xfrm>
          <a:off x="3886200" y="150685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563" name="Text Box 563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564" name="Text Box 564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276225" cy="361950"/>
    <xdr:sp fLocksText="0">
      <xdr:nvSpPr>
        <xdr:cNvPr id="565" name="Text Box 565"/>
        <xdr:cNvSpPr txBox="1">
          <a:spLocks noChangeArrowheads="1"/>
        </xdr:cNvSpPr>
      </xdr:nvSpPr>
      <xdr:spPr>
        <a:xfrm>
          <a:off x="3886200" y="150685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566" name="Text Box 566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567" name="Text Box 567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276225" cy="361950"/>
    <xdr:sp fLocksText="0">
      <xdr:nvSpPr>
        <xdr:cNvPr id="568" name="Text Box 568"/>
        <xdr:cNvSpPr txBox="1">
          <a:spLocks noChangeArrowheads="1"/>
        </xdr:cNvSpPr>
      </xdr:nvSpPr>
      <xdr:spPr>
        <a:xfrm>
          <a:off x="3886200" y="150685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569" name="Text Box 569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570" name="Text Box 570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276225" cy="361950"/>
    <xdr:sp fLocksText="0">
      <xdr:nvSpPr>
        <xdr:cNvPr id="571" name="Text Box 571"/>
        <xdr:cNvSpPr txBox="1">
          <a:spLocks noChangeArrowheads="1"/>
        </xdr:cNvSpPr>
      </xdr:nvSpPr>
      <xdr:spPr>
        <a:xfrm>
          <a:off x="3886200" y="150685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572" name="Text Box 572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573" name="Text Box 573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276225" cy="314325"/>
    <xdr:sp fLocksText="0">
      <xdr:nvSpPr>
        <xdr:cNvPr id="574" name="Text Box 574"/>
        <xdr:cNvSpPr txBox="1">
          <a:spLocks noChangeArrowheads="1"/>
        </xdr:cNvSpPr>
      </xdr:nvSpPr>
      <xdr:spPr>
        <a:xfrm>
          <a:off x="3886200" y="15449550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575" name="Text Box 575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576" name="Text Box 576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276225" cy="314325"/>
    <xdr:sp fLocksText="0">
      <xdr:nvSpPr>
        <xdr:cNvPr id="577" name="Text Box 577"/>
        <xdr:cNvSpPr txBox="1">
          <a:spLocks noChangeArrowheads="1"/>
        </xdr:cNvSpPr>
      </xdr:nvSpPr>
      <xdr:spPr>
        <a:xfrm>
          <a:off x="3886200" y="15449550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578" name="Text Box 578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579" name="Text Box 579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276225" cy="314325"/>
    <xdr:sp fLocksText="0">
      <xdr:nvSpPr>
        <xdr:cNvPr id="580" name="Text Box 580"/>
        <xdr:cNvSpPr txBox="1">
          <a:spLocks noChangeArrowheads="1"/>
        </xdr:cNvSpPr>
      </xdr:nvSpPr>
      <xdr:spPr>
        <a:xfrm>
          <a:off x="3886200" y="15449550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581" name="Text Box 581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582" name="Text Box 582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276225" cy="314325"/>
    <xdr:sp fLocksText="0">
      <xdr:nvSpPr>
        <xdr:cNvPr id="583" name="Text Box 583"/>
        <xdr:cNvSpPr txBox="1">
          <a:spLocks noChangeArrowheads="1"/>
        </xdr:cNvSpPr>
      </xdr:nvSpPr>
      <xdr:spPr>
        <a:xfrm>
          <a:off x="3886200" y="15449550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584" name="Text Box 584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585" name="Text Box 585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276225" cy="371475"/>
    <xdr:sp fLocksText="0">
      <xdr:nvSpPr>
        <xdr:cNvPr id="586" name="Text Box 586"/>
        <xdr:cNvSpPr txBox="1">
          <a:spLocks noChangeArrowheads="1"/>
        </xdr:cNvSpPr>
      </xdr:nvSpPr>
      <xdr:spPr>
        <a:xfrm>
          <a:off x="3886200" y="16211550"/>
          <a:ext cx="276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587" name="Text Box 587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588" name="Text Box 588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276225" cy="371475"/>
    <xdr:sp fLocksText="0">
      <xdr:nvSpPr>
        <xdr:cNvPr id="589" name="Text Box 589"/>
        <xdr:cNvSpPr txBox="1">
          <a:spLocks noChangeArrowheads="1"/>
        </xdr:cNvSpPr>
      </xdr:nvSpPr>
      <xdr:spPr>
        <a:xfrm>
          <a:off x="3886200" y="16211550"/>
          <a:ext cx="276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590" name="Text Box 590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591" name="Text Box 591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276225" cy="371475"/>
    <xdr:sp fLocksText="0">
      <xdr:nvSpPr>
        <xdr:cNvPr id="592" name="Text Box 592"/>
        <xdr:cNvSpPr txBox="1">
          <a:spLocks noChangeArrowheads="1"/>
        </xdr:cNvSpPr>
      </xdr:nvSpPr>
      <xdr:spPr>
        <a:xfrm>
          <a:off x="3886200" y="16211550"/>
          <a:ext cx="276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593" name="Text Box 593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594" name="Text Box 594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276225" cy="371475"/>
    <xdr:sp fLocksText="0">
      <xdr:nvSpPr>
        <xdr:cNvPr id="595" name="Text Box 595"/>
        <xdr:cNvSpPr txBox="1">
          <a:spLocks noChangeArrowheads="1"/>
        </xdr:cNvSpPr>
      </xdr:nvSpPr>
      <xdr:spPr>
        <a:xfrm>
          <a:off x="3886200" y="16211550"/>
          <a:ext cx="276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596" name="Text Box 596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597" name="Text Box 597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598" name="Text Box 598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599" name="Text Box 599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00" name="Text Box 600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601" name="Text Box 601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02" name="Text Box 602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03" name="Text Box 603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604" name="Text Box 604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05" name="Text Box 605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06" name="Text Box 606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607" name="Text Box 607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08" name="Text Box 608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09" name="Text Box 609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610" name="Text Box 610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11" name="Text Box 611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12" name="Text Box 612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613" name="Text Box 613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14" name="Text Box 614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15" name="Text Box 615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616" name="Text Box 616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17" name="Text Box 617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18" name="Text Box 618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619" name="Text Box 619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20" name="Text Box 620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621" name="Text Box 621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22" name="Text Box 62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23" name="Text Box 62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24" name="Text Box 62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25" name="Text Box 62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26" name="Text Box 62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27" name="Text Box 62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28" name="Text Box 62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29" name="Text Box 62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30" name="Text Box 63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31" name="Text Box 63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32" name="Text Box 63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33" name="Text Box 63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34" name="Text Box 63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35" name="Text Box 63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36" name="Text Box 63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37" name="Text Box 63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38" name="Text Box 63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39" name="Text Box 63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40" name="Text Box 64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41" name="Text Box 64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42" name="Text Box 64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43" name="Text Box 643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44" name="Text Box 64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45" name="Text Box 64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46" name="Text Box 646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47" name="Text Box 64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48" name="Text Box 64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49" name="Text Box 64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50" name="Text Box 65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51" name="Text Box 65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52" name="Text Box 65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53" name="Text Box 65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54" name="Text Box 65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55" name="Text Box 65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56" name="Text Box 65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57" name="Text Box 65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58" name="Text Box 65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59" name="Text Box 65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60" name="Text Box 66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61" name="Text Box 66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62" name="Text Box 66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63" name="Text Box 66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64" name="Text Box 66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65" name="Text Box 66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66" name="Text Box 66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67" name="Text Box 66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68" name="Text Box 66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69" name="Text Box 66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70" name="Text Box 67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71" name="Text Box 67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72" name="Text Box 67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73" name="Text Box 673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74" name="Text Box 67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75" name="Text Box 67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76" name="Text Box 676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77" name="Text Box 67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78" name="Text Box 67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79" name="Text Box 67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80" name="Text Box 68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81" name="Text Box 68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82" name="Text Box 68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83" name="Text Box 68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84" name="Text Box 68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85" name="Text Box 68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86" name="Text Box 68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87" name="Text Box 68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88" name="Text Box 68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89" name="Text Box 68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90" name="Text Box 69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91" name="Text Box 69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92" name="Text Box 69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93" name="Text Box 69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94" name="Text Box 69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95" name="Text Box 69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96" name="Text Box 69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697" name="Text Box 69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98" name="Text Box 69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699" name="Text Box 69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700" name="Text Box 70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01" name="Text Box 70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02" name="Text Box 70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703" name="Text Box 703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04" name="Text Box 70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05" name="Text Box 70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706" name="Text Box 706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07" name="Text Box 70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08" name="Text Box 70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709" name="Text Box 70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10" name="Text Box 71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11" name="Text Box 71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712" name="Text Box 71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13" name="Text Box 71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14" name="Text Box 71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715" name="Text Box 71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16" name="Text Box 71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717" name="Text Box 71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18" name="Text Box 71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19" name="Text Box 71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20" name="Text Box 72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21" name="Text Box 72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22" name="Text Box 72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23" name="Text Box 72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24" name="Text Box 72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25" name="Text Box 72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26" name="Text Box 72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27" name="Text Box 72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28" name="Text Box 72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29" name="Text Box 72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30" name="Text Box 73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31" name="Text Box 73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32" name="Text Box 73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33" name="Text Box 73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34" name="Text Box 73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35" name="Text Box 73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36" name="Text Box 73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37" name="Text Box 73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38" name="Text Box 73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39" name="Text Box 73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40" name="Text Box 74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41" name="Text Box 74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42" name="Text Box 74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43" name="Text Box 74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44" name="Text Box 74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45" name="Text Box 74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46" name="Text Box 74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47" name="Text Box 74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48" name="Text Box 74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49" name="Text Box 74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50" name="Text Box 75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51" name="Text Box 75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52" name="Text Box 75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53" name="Text Box 75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54" name="Text Box 75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55" name="Text Box 75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56" name="Text Box 75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57" name="Text Box 75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58" name="Text Box 75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59" name="Text Box 75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60" name="Text Box 76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61" name="Text Box 76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62" name="Text Box 76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63" name="Text Box 76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64" name="Text Box 76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65" name="Text Box 76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66" name="Text Box 76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67" name="Text Box 76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68" name="Text Box 76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69" name="Text Box 76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70" name="Text Box 77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71" name="Text Box 77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72" name="Text Box 77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73" name="Text Box 77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74" name="Text Box 77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75" name="Text Box 77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76" name="Text Box 77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77" name="Text Box 77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78" name="Text Box 77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79" name="Text Box 77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80" name="Text Box 78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81" name="Text Box 78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82" name="Text Box 78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83" name="Text Box 78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84" name="Text Box 78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85" name="Text Box 78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86" name="Text Box 78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87" name="Text Box 78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88" name="Text Box 78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89" name="Text Box 78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90" name="Text Box 79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91" name="Text Box 79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92" name="Text Box 79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93" name="Text Box 79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94" name="Text Box 79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95" name="Text Box 79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96" name="Text Box 79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97" name="Text Box 79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798" name="Text Box 79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799" name="Text Box 79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00" name="Text Box 80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01" name="Text Box 80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02" name="Text Box 80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03" name="Text Box 80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04" name="Text Box 80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05" name="Text Box 80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06" name="Text Box 80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07" name="Text Box 80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08" name="Text Box 80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09" name="Text Box 80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10" name="Text Box 81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11" name="Text Box 81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12" name="Text Box 81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13" name="Text Box 81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14" name="Text Box 81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15" name="Text Box 81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16" name="Text Box 81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17" name="Text Box 81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18" name="Text Box 81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19" name="Text Box 81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20" name="Text Box 82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21" name="Text Box 82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22" name="Text Box 82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23" name="Text Box 82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24" name="Text Box 82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25" name="Text Box 82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26" name="Text Box 82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27" name="Text Box 82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28" name="Text Box 82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29" name="Text Box 82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30" name="Text Box 83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31" name="Text Box 83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32" name="Text Box 83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33" name="Text Box 83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34" name="Text Box 83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35" name="Text Box 83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36" name="Text Box 83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37" name="Text Box 83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38" name="Text Box 83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39" name="Text Box 83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40" name="Text Box 84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41" name="Text Box 84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42" name="Text Box 84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43" name="Text Box 84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44" name="Text Box 84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45" name="Text Box 84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46" name="Text Box 84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47" name="Text Box 84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48" name="Text Box 84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49" name="Text Box 84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50" name="Text Box 85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51" name="Text Box 85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52" name="Text Box 85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53" name="Text Box 85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54" name="Text Box 85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55" name="Text Box 85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56" name="Text Box 85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57" name="Text Box 85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58" name="Text Box 85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59" name="Text Box 85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60" name="Text Box 86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61" name="Text Box 86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62" name="Text Box 86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63" name="Text Box 86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64" name="Text Box 86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65" name="Text Box 86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66" name="Text Box 86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67" name="Text Box 86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68" name="Text Box 86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69" name="Text Box 86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70" name="Text Box 87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71" name="Text Box 87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72" name="Text Box 87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73" name="Text Box 87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74" name="Text Box 87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75" name="Text Box 87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76" name="Text Box 87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77" name="Text Box 87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78" name="Text Box 87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79" name="Text Box 87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80" name="Text Box 88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81" name="Text Box 88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82" name="Text Box 88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83" name="Text Box 88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84" name="Text Box 88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85" name="Text Box 88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86" name="Text Box 88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87" name="Text Box 88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88" name="Text Box 88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89" name="Text Box 88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90" name="Text Box 89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91" name="Text Box 89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92" name="Text Box 89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93" name="Text Box 89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94" name="Text Box 89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95" name="Text Box 89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96" name="Text Box 89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97" name="Text Box 89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898" name="Text Box 89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899" name="Text Box 89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00" name="Text Box 90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01" name="Text Box 90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02" name="Text Box 90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03" name="Text Box 90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04" name="Text Box 90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05" name="Text Box 90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06" name="Text Box 90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07" name="Text Box 90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08" name="Text Box 90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09" name="Text Box 90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10" name="Text Box 91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11" name="Text Box 91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12" name="Text Box 91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13" name="Text Box 91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14" name="Text Box 91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15" name="Text Box 91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16" name="Text Box 91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17" name="Text Box 91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18" name="Text Box 91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19" name="Text Box 91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20" name="Text Box 92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21" name="Text Box 92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22" name="Text Box 92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23" name="Text Box 92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24" name="Text Box 92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25" name="Text Box 92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26" name="Text Box 92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27" name="Text Box 92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28" name="Text Box 92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29" name="Text Box 92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30" name="Text Box 93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31" name="Text Box 93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32" name="Text Box 93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33" name="Text Box 93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34" name="Text Box 93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35" name="Text Box 93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36" name="Text Box 93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37" name="Text Box 93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38" name="Text Box 93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39" name="Text Box 93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40" name="Text Box 94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41" name="Text Box 94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42" name="Text Box 94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43" name="Text Box 94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44" name="Text Box 94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45" name="Text Box 94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46" name="Text Box 94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47" name="Text Box 94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48" name="Text Box 94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49" name="Text Box 94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50" name="Text Box 95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51" name="Text Box 95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52" name="Text Box 95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53" name="Text Box 95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54" name="Text Box 95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55" name="Text Box 95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56" name="Text Box 95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57" name="Text Box 95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58" name="Text Box 95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59" name="Text Box 95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60" name="Text Box 96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61" name="Text Box 961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62" name="Text Box 96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63" name="Text Box 96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64" name="Text Box 964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65" name="Text Box 96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66" name="Text Box 96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67" name="Text Box 967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68" name="Text Box 96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69" name="Text Box 96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70" name="Text Box 970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71" name="Text Box 97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72" name="Text Box 972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73" name="Text Box 973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74" name="Text Box 97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75" name="Text Box 975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76" name="Text Box 976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77" name="Text Box 97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78" name="Text Box 978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79" name="Text Box 979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80" name="Text Box 98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81" name="Text Box 981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82" name="Text Box 982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83" name="Text Box 983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84" name="Text Box 984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85" name="Text Box 985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86" name="Text Box 986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87" name="Text Box 987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190500</xdr:rowOff>
    </xdr:from>
    <xdr:ext cx="276225" cy="190500"/>
    <xdr:sp fLocksText="0">
      <xdr:nvSpPr>
        <xdr:cNvPr id="988" name="Text Box 988"/>
        <xdr:cNvSpPr txBox="1">
          <a:spLocks noChangeArrowheads="1"/>
        </xdr:cNvSpPr>
      </xdr:nvSpPr>
      <xdr:spPr>
        <a:xfrm>
          <a:off x="3886200" y="139065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89" name="Text Box 989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73</xdr:row>
      <xdr:rowOff>171450</xdr:rowOff>
    </xdr:from>
    <xdr:ext cx="0" cy="219075"/>
    <xdr:sp fLocksText="0">
      <xdr:nvSpPr>
        <xdr:cNvPr id="990" name="Text Box 990"/>
        <xdr:cNvSpPr txBox="1">
          <a:spLocks noChangeArrowheads="1"/>
        </xdr:cNvSpPr>
      </xdr:nvSpPr>
      <xdr:spPr>
        <a:xfrm>
          <a:off x="3276600" y="140779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991" name="Text Box 991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992" name="Text Box 99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993" name="Text Box 99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994" name="Text Box 994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995" name="Text Box 99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996" name="Text Box 99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997" name="Text Box 997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998" name="Text Box 99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999" name="Text Box 99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00" name="Text Box 1000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01" name="Text Box 100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02" name="Text Box 100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03" name="Text Box 1003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04" name="Text Box 100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05" name="Text Box 100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06" name="Text Box 1006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07" name="Text Box 100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08" name="Text Box 100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09" name="Text Box 1009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10" name="Text Box 101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11" name="Text Box 101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12" name="Text Box 1012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13" name="Text Box 101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14" name="Text Box 101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15" name="Text Box 1015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16" name="Text Box 101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17" name="Text Box 101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18" name="Text Box 1018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19" name="Text Box 101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20" name="Text Box 102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21" name="Text Box 1021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22" name="Text Box 102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23" name="Text Box 102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24" name="Text Box 1024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25" name="Text Box 102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26" name="Text Box 102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27" name="Text Box 1027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28" name="Text Box 102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29" name="Text Box 102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30" name="Text Box 1030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31" name="Text Box 103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32" name="Text Box 103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33" name="Text Box 1033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34" name="Text Box 103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35" name="Text Box 103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36" name="Text Box 1036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37" name="Text Box 103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38" name="Text Box 103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39" name="Text Box 1039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40" name="Text Box 104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41" name="Text Box 104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42" name="Text Box 1042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43" name="Text Box 104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44" name="Text Box 104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45" name="Text Box 1045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46" name="Text Box 104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47" name="Text Box 104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48" name="Text Box 1048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49" name="Text Box 104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50" name="Text Box 105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51" name="Text Box 1051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52" name="Text Box 105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53" name="Text Box 105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54" name="Text Box 1054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55" name="Text Box 105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56" name="Text Box 105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57" name="Text Box 1057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58" name="Text Box 105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59" name="Text Box 105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60" name="Text Box 1060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61" name="Text Box 106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62" name="Text Box 106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63" name="Text Box 1063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64" name="Text Box 106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65" name="Text Box 106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66" name="Text Box 1066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67" name="Text Box 106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68" name="Text Box 106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69" name="Text Box 1069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70" name="Text Box 107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71" name="Text Box 107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072" name="Text Box 1072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73" name="Text Box 107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074" name="Text Box 107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075" name="Text Box 1075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076" name="Text Box 1076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077" name="Text Box 1077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078" name="Text Box 1078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079" name="Text Box 1079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080" name="Text Box 1080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081" name="Text Box 1081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082" name="Text Box 1082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083" name="Text Box 1083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084" name="Text Box 1084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085" name="Text Box 1085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086" name="Text Box 1086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087" name="Text Box 1087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088" name="Text Box 108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089" name="Text Box 108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090" name="Text Box 1090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091" name="Text Box 109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092" name="Text Box 109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093" name="Text Box 1093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094" name="Text Box 109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095" name="Text Box 109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096" name="Text Box 1096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097" name="Text Box 109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098" name="Text Box 109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099" name="Text Box 1099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00" name="Text Box 110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01" name="Text Box 110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02" name="Text Box 1102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03" name="Text Box 110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04" name="Text Box 110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05" name="Text Box 1105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06" name="Text Box 110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07" name="Text Box 110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08" name="Text Box 1108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09" name="Text Box 110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10" name="Text Box 111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11" name="Text Box 1111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12" name="Text Box 111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13" name="Text Box 111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14" name="Text Box 1114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15" name="Text Box 111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16" name="Text Box 111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17" name="Text Box 1117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18" name="Text Box 111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19" name="Text Box 111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20" name="Text Box 1120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21" name="Text Box 112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22" name="Text Box 112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23" name="Text Box 1123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24" name="Text Box 112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25" name="Text Box 112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26" name="Text Box 1126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27" name="Text Box 112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28" name="Text Box 112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29" name="Text Box 1129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30" name="Text Box 113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31" name="Text Box 113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32" name="Text Box 1132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33" name="Text Box 113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34" name="Text Box 113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35" name="Text Box 1135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36" name="Text Box 113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37" name="Text Box 113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38" name="Text Box 1138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39" name="Text Box 113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40" name="Text Box 114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41" name="Text Box 1141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42" name="Text Box 114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43" name="Text Box 114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144" name="Text Box 1144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45" name="Text Box 114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146" name="Text Box 114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47" name="Text Box 1147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48" name="Text Box 1148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49" name="Text Box 1149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50" name="Text Box 1150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51" name="Text Box 1151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52" name="Text Box 1152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53" name="Text Box 1153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54" name="Text Box 1154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55" name="Text Box 1155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56" name="Text Box 1156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57" name="Text Box 1157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58" name="Text Box 1158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59" name="Text Box 1159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60" name="Text Box 1160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61" name="Text Box 1161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62" name="Text Box 1162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63" name="Text Box 1163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64" name="Text Box 1164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65" name="Text Box 1165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66" name="Text Box 1166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67" name="Text Box 1167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68" name="Text Box 1168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69" name="Text Box 1169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70" name="Text Box 1170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71" name="Text Box 1171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72" name="Text Box 1172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73" name="Text Box 1173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74" name="Text Box 1174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75" name="Text Box 1175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76" name="Text Box 1176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77" name="Text Box 1177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78" name="Text Box 1178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79" name="Text Box 1179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200025</xdr:rowOff>
    </xdr:from>
    <xdr:ext cx="276225" cy="200025"/>
    <xdr:sp fLocksText="0">
      <xdr:nvSpPr>
        <xdr:cNvPr id="1180" name="Text Box 1180"/>
        <xdr:cNvSpPr txBox="1">
          <a:spLocks noChangeArrowheads="1"/>
        </xdr:cNvSpPr>
      </xdr:nvSpPr>
      <xdr:spPr>
        <a:xfrm>
          <a:off x="3886200" y="142970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81" name="Text Box 1181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75</xdr:row>
      <xdr:rowOff>171450</xdr:rowOff>
    </xdr:from>
    <xdr:ext cx="0" cy="219075"/>
    <xdr:sp fLocksText="0">
      <xdr:nvSpPr>
        <xdr:cNvPr id="1182" name="Text Box 1182"/>
        <xdr:cNvSpPr txBox="1">
          <a:spLocks noChangeArrowheads="1"/>
        </xdr:cNvSpPr>
      </xdr:nvSpPr>
      <xdr:spPr>
        <a:xfrm>
          <a:off x="3276600" y="144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183" name="Text Box 1183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184" name="Text Box 1184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185" name="Text Box 1185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186" name="Text Box 1186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187" name="Text Box 1187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188" name="Text Box 1188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189" name="Text Box 1189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190" name="Text Box 1190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191" name="Text Box 1191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192" name="Text Box 1192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193" name="Text Box 1193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194" name="Text Box 1194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195" name="Text Box 1195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196" name="Text Box 119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197" name="Text Box 119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198" name="Text Box 1198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199" name="Text Box 119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00" name="Text Box 120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201" name="Text Box 1201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02" name="Text Box 120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03" name="Text Box 120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204" name="Text Box 1204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05" name="Text Box 120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06" name="Text Box 120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207" name="Text Box 1207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08" name="Text Box 120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09" name="Text Box 120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210" name="Text Box 1210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11" name="Text Box 121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12" name="Text Box 1212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213" name="Text Box 1213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14" name="Text Box 121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15" name="Text Box 1215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216" name="Text Box 1216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17" name="Text Box 121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18" name="Text Box 1218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219" name="Text Box 1219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20" name="Text Box 122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21" name="Text Box 1221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222" name="Text Box 1222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23" name="Text Box 1223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24" name="Text Box 1224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225" name="Text Box 1225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26" name="Text Box 1226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27" name="Text Box 1227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190500</xdr:rowOff>
    </xdr:from>
    <xdr:ext cx="276225" cy="200025"/>
    <xdr:sp fLocksText="0">
      <xdr:nvSpPr>
        <xdr:cNvPr id="1228" name="Text Box 1228"/>
        <xdr:cNvSpPr txBox="1">
          <a:spLocks noChangeArrowheads="1"/>
        </xdr:cNvSpPr>
      </xdr:nvSpPr>
      <xdr:spPr>
        <a:xfrm>
          <a:off x="3886200" y="140970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29" name="Text Box 1229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74</xdr:row>
      <xdr:rowOff>171450</xdr:rowOff>
    </xdr:from>
    <xdr:ext cx="0" cy="228600"/>
    <xdr:sp fLocksText="0">
      <xdr:nvSpPr>
        <xdr:cNvPr id="1230" name="Text Box 1230"/>
        <xdr:cNvSpPr txBox="1">
          <a:spLocks noChangeArrowheads="1"/>
        </xdr:cNvSpPr>
      </xdr:nvSpPr>
      <xdr:spPr>
        <a:xfrm>
          <a:off x="3276600" y="14268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231" name="Text Box 1231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232" name="Text Box 1232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233" name="Text Box 1233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234" name="Text Box 1234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235" name="Text Box 1235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236" name="Text Box 1236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237" name="Text Box 1237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238" name="Text Box 1238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239" name="Text Box 1239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200025</xdr:rowOff>
    </xdr:from>
    <xdr:ext cx="276225" cy="190500"/>
    <xdr:sp fLocksText="0">
      <xdr:nvSpPr>
        <xdr:cNvPr id="1240" name="Text Box 1240"/>
        <xdr:cNvSpPr txBox="1">
          <a:spLocks noChangeArrowheads="1"/>
        </xdr:cNvSpPr>
      </xdr:nvSpPr>
      <xdr:spPr>
        <a:xfrm>
          <a:off x="3886200" y="14497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241" name="Text Box 1241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76</xdr:row>
      <xdr:rowOff>171450</xdr:rowOff>
    </xdr:from>
    <xdr:ext cx="0" cy="209550"/>
    <xdr:sp fLocksText="0">
      <xdr:nvSpPr>
        <xdr:cNvPr id="1242" name="Text Box 1242"/>
        <xdr:cNvSpPr txBox="1">
          <a:spLocks noChangeArrowheads="1"/>
        </xdr:cNvSpPr>
      </xdr:nvSpPr>
      <xdr:spPr>
        <a:xfrm>
          <a:off x="3276600" y="1466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43" name="Text Box 1243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44" name="Text Box 124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45" name="Text Box 124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46" name="Text Box 1246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47" name="Text Box 124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48" name="Text Box 124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49" name="Text Box 1249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50" name="Text Box 125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51" name="Text Box 125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52" name="Text Box 1252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53" name="Text Box 125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54" name="Text Box 125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55" name="Text Box 1255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56" name="Text Box 125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57" name="Text Box 125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58" name="Text Box 1258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59" name="Text Box 125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60" name="Text Box 1260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61" name="Text Box 1261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62" name="Text Box 126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63" name="Text Box 1263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64" name="Text Box 1264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65" name="Text Box 126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66" name="Text Box 1266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67" name="Text Box 1267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68" name="Text Box 126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69" name="Text Box 1269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70" name="Text Box 1270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71" name="Text Box 1271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72" name="Text Box 1272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73" name="Text Box 1273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74" name="Text Box 1274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75" name="Text Box 1275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190500</xdr:rowOff>
    </xdr:from>
    <xdr:ext cx="276225" cy="190500"/>
    <xdr:sp fLocksText="0">
      <xdr:nvSpPr>
        <xdr:cNvPr id="1276" name="Text Box 1276"/>
        <xdr:cNvSpPr txBox="1">
          <a:spLocks noChangeArrowheads="1"/>
        </xdr:cNvSpPr>
      </xdr:nvSpPr>
      <xdr:spPr>
        <a:xfrm>
          <a:off x="3886200" y="146875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77" name="Text Box 1277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77</xdr:row>
      <xdr:rowOff>171450</xdr:rowOff>
    </xdr:from>
    <xdr:ext cx="0" cy="209550"/>
    <xdr:sp fLocksText="0">
      <xdr:nvSpPr>
        <xdr:cNvPr id="1278" name="Text Box 1278"/>
        <xdr:cNvSpPr txBox="1">
          <a:spLocks noChangeArrowheads="1"/>
        </xdr:cNvSpPr>
      </xdr:nvSpPr>
      <xdr:spPr>
        <a:xfrm>
          <a:off x="3276600" y="14859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276225" cy="361950"/>
    <xdr:sp fLocksText="0">
      <xdr:nvSpPr>
        <xdr:cNvPr id="1279" name="Text Box 1279"/>
        <xdr:cNvSpPr txBox="1">
          <a:spLocks noChangeArrowheads="1"/>
        </xdr:cNvSpPr>
      </xdr:nvSpPr>
      <xdr:spPr>
        <a:xfrm>
          <a:off x="3886200" y="150685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1280" name="Text Box 1280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1281" name="Text Box 1281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276225" cy="361950"/>
    <xdr:sp fLocksText="0">
      <xdr:nvSpPr>
        <xdr:cNvPr id="1282" name="Text Box 1282"/>
        <xdr:cNvSpPr txBox="1">
          <a:spLocks noChangeArrowheads="1"/>
        </xdr:cNvSpPr>
      </xdr:nvSpPr>
      <xdr:spPr>
        <a:xfrm>
          <a:off x="3886200" y="150685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1283" name="Text Box 1283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1284" name="Text Box 1284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276225" cy="361950"/>
    <xdr:sp fLocksText="0">
      <xdr:nvSpPr>
        <xdr:cNvPr id="1285" name="Text Box 1285"/>
        <xdr:cNvSpPr txBox="1">
          <a:spLocks noChangeArrowheads="1"/>
        </xdr:cNvSpPr>
      </xdr:nvSpPr>
      <xdr:spPr>
        <a:xfrm>
          <a:off x="3886200" y="150685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1286" name="Text Box 1286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1287" name="Text Box 1287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276225" cy="361950"/>
    <xdr:sp fLocksText="0">
      <xdr:nvSpPr>
        <xdr:cNvPr id="1288" name="Text Box 1288"/>
        <xdr:cNvSpPr txBox="1">
          <a:spLocks noChangeArrowheads="1"/>
        </xdr:cNvSpPr>
      </xdr:nvSpPr>
      <xdr:spPr>
        <a:xfrm>
          <a:off x="3886200" y="150685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1289" name="Text Box 1289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79</xdr:row>
      <xdr:rowOff>0</xdr:rowOff>
    </xdr:from>
    <xdr:ext cx="0" cy="361950"/>
    <xdr:sp fLocksText="0">
      <xdr:nvSpPr>
        <xdr:cNvPr id="1290" name="Text Box 1290"/>
        <xdr:cNvSpPr txBox="1">
          <a:spLocks noChangeArrowheads="1"/>
        </xdr:cNvSpPr>
      </xdr:nvSpPr>
      <xdr:spPr>
        <a:xfrm>
          <a:off x="3276600" y="15068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276225" cy="314325"/>
    <xdr:sp fLocksText="0">
      <xdr:nvSpPr>
        <xdr:cNvPr id="1291" name="Text Box 1291"/>
        <xdr:cNvSpPr txBox="1">
          <a:spLocks noChangeArrowheads="1"/>
        </xdr:cNvSpPr>
      </xdr:nvSpPr>
      <xdr:spPr>
        <a:xfrm>
          <a:off x="3886200" y="15449550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1292" name="Text Box 1292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1293" name="Text Box 1293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276225" cy="314325"/>
    <xdr:sp fLocksText="0">
      <xdr:nvSpPr>
        <xdr:cNvPr id="1294" name="Text Box 1294"/>
        <xdr:cNvSpPr txBox="1">
          <a:spLocks noChangeArrowheads="1"/>
        </xdr:cNvSpPr>
      </xdr:nvSpPr>
      <xdr:spPr>
        <a:xfrm>
          <a:off x="3886200" y="15449550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1295" name="Text Box 1295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1296" name="Text Box 1296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276225" cy="314325"/>
    <xdr:sp fLocksText="0">
      <xdr:nvSpPr>
        <xdr:cNvPr id="1297" name="Text Box 1297"/>
        <xdr:cNvSpPr txBox="1">
          <a:spLocks noChangeArrowheads="1"/>
        </xdr:cNvSpPr>
      </xdr:nvSpPr>
      <xdr:spPr>
        <a:xfrm>
          <a:off x="3886200" y="15449550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1298" name="Text Box 1298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1299" name="Text Box 1299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276225" cy="314325"/>
    <xdr:sp fLocksText="0">
      <xdr:nvSpPr>
        <xdr:cNvPr id="1300" name="Text Box 1300"/>
        <xdr:cNvSpPr txBox="1">
          <a:spLocks noChangeArrowheads="1"/>
        </xdr:cNvSpPr>
      </xdr:nvSpPr>
      <xdr:spPr>
        <a:xfrm>
          <a:off x="3886200" y="15449550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1301" name="Text Box 1301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81</xdr:row>
      <xdr:rowOff>0</xdr:rowOff>
    </xdr:from>
    <xdr:ext cx="0" cy="314325"/>
    <xdr:sp fLocksText="0">
      <xdr:nvSpPr>
        <xdr:cNvPr id="1302" name="Text Box 1302"/>
        <xdr:cNvSpPr txBox="1">
          <a:spLocks noChangeArrowheads="1"/>
        </xdr:cNvSpPr>
      </xdr:nvSpPr>
      <xdr:spPr>
        <a:xfrm>
          <a:off x="3276600" y="15449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276225" cy="371475"/>
    <xdr:sp fLocksText="0">
      <xdr:nvSpPr>
        <xdr:cNvPr id="1303" name="Text Box 1303"/>
        <xdr:cNvSpPr txBox="1">
          <a:spLocks noChangeArrowheads="1"/>
        </xdr:cNvSpPr>
      </xdr:nvSpPr>
      <xdr:spPr>
        <a:xfrm>
          <a:off x="3886200" y="16211550"/>
          <a:ext cx="276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1304" name="Text Box 1304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1305" name="Text Box 1305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276225" cy="371475"/>
    <xdr:sp fLocksText="0">
      <xdr:nvSpPr>
        <xdr:cNvPr id="1306" name="Text Box 1306"/>
        <xdr:cNvSpPr txBox="1">
          <a:spLocks noChangeArrowheads="1"/>
        </xdr:cNvSpPr>
      </xdr:nvSpPr>
      <xdr:spPr>
        <a:xfrm>
          <a:off x="3886200" y="16211550"/>
          <a:ext cx="276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1307" name="Text Box 1307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1308" name="Text Box 1308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276225" cy="371475"/>
    <xdr:sp fLocksText="0">
      <xdr:nvSpPr>
        <xdr:cNvPr id="1309" name="Text Box 1309"/>
        <xdr:cNvSpPr txBox="1">
          <a:spLocks noChangeArrowheads="1"/>
        </xdr:cNvSpPr>
      </xdr:nvSpPr>
      <xdr:spPr>
        <a:xfrm>
          <a:off x="3886200" y="16211550"/>
          <a:ext cx="276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1310" name="Text Box 1310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1311" name="Text Box 1311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276225" cy="371475"/>
    <xdr:sp fLocksText="0">
      <xdr:nvSpPr>
        <xdr:cNvPr id="1312" name="Text Box 1312"/>
        <xdr:cNvSpPr txBox="1">
          <a:spLocks noChangeArrowheads="1"/>
        </xdr:cNvSpPr>
      </xdr:nvSpPr>
      <xdr:spPr>
        <a:xfrm>
          <a:off x="3886200" y="16211550"/>
          <a:ext cx="276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1313" name="Text Box 1313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85</xdr:row>
      <xdr:rowOff>0</xdr:rowOff>
    </xdr:from>
    <xdr:ext cx="0" cy="371475"/>
    <xdr:sp fLocksText="0">
      <xdr:nvSpPr>
        <xdr:cNvPr id="1314" name="Text Box 1314"/>
        <xdr:cNvSpPr txBox="1">
          <a:spLocks noChangeArrowheads="1"/>
        </xdr:cNvSpPr>
      </xdr:nvSpPr>
      <xdr:spPr>
        <a:xfrm>
          <a:off x="3276600" y="162115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1315" name="Text Box 1315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16" name="Text Box 1316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17" name="Text Box 1317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1318" name="Text Box 1318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19" name="Text Box 1319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20" name="Text Box 1320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1321" name="Text Box 1321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22" name="Text Box 1322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23" name="Text Box 1323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1324" name="Text Box 1324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25" name="Text Box 1325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26" name="Text Box 1326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1327" name="Text Box 1327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28" name="Text Box 1328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29" name="Text Box 1329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1330" name="Text Box 1330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31" name="Text Box 1331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32" name="Text Box 1332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1333" name="Text Box 1333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34" name="Text Box 1334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35" name="Text Box 1335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76225" cy="361950"/>
    <xdr:sp fLocksText="0">
      <xdr:nvSpPr>
        <xdr:cNvPr id="1336" name="Text Box 1336"/>
        <xdr:cNvSpPr txBox="1">
          <a:spLocks noChangeArrowheads="1"/>
        </xdr:cNvSpPr>
      </xdr:nvSpPr>
      <xdr:spPr>
        <a:xfrm>
          <a:off x="3886200" y="16602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37" name="Text Box 1337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87</xdr:row>
      <xdr:rowOff>0</xdr:rowOff>
    </xdr:from>
    <xdr:ext cx="0" cy="361950"/>
    <xdr:sp fLocksText="0">
      <xdr:nvSpPr>
        <xdr:cNvPr id="1338" name="Text Box 1338"/>
        <xdr:cNvSpPr txBox="1">
          <a:spLocks noChangeArrowheads="1"/>
        </xdr:cNvSpPr>
      </xdr:nvSpPr>
      <xdr:spPr>
        <a:xfrm>
          <a:off x="3276600" y="16602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39" name="Text Box 133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40" name="Text Box 134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41" name="Text Box 134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42" name="Text Box 134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43" name="Text Box 134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44" name="Text Box 134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45" name="Text Box 134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46" name="Text Box 134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47" name="Text Box 134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48" name="Text Box 134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49" name="Text Box 134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50" name="Text Box 135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51" name="Text Box 135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52" name="Text Box 135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53" name="Text Box 135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54" name="Text Box 135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55" name="Text Box 135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56" name="Text Box 135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57" name="Text Box 135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58" name="Text Box 135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59" name="Text Box 135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60" name="Text Box 136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61" name="Text Box 136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62" name="Text Box 136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63" name="Text Box 1363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64" name="Text Box 136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65" name="Text Box 136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66" name="Text Box 1366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67" name="Text Box 136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68" name="Text Box 136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69" name="Text Box 136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70" name="Text Box 137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71" name="Text Box 137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72" name="Text Box 137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73" name="Text Box 137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74" name="Text Box 137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75" name="Text Box 137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76" name="Text Box 137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77" name="Text Box 137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78" name="Text Box 137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79" name="Text Box 137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80" name="Text Box 138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81" name="Text Box 138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82" name="Text Box 138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83" name="Text Box 138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84" name="Text Box 138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85" name="Text Box 138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86" name="Text Box 138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87" name="Text Box 138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88" name="Text Box 138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89" name="Text Box 138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90" name="Text Box 139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91" name="Text Box 139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92" name="Text Box 139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93" name="Text Box 1393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94" name="Text Box 139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95" name="Text Box 139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96" name="Text Box 1396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97" name="Text Box 139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398" name="Text Box 139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399" name="Text Box 139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00" name="Text Box 140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01" name="Text Box 140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02" name="Text Box 140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03" name="Text Box 140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04" name="Text Box 140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05" name="Text Box 140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06" name="Text Box 140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07" name="Text Box 140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08" name="Text Box 140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09" name="Text Box 140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10" name="Text Box 141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11" name="Text Box 141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12" name="Text Box 141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13" name="Text Box 141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14" name="Text Box 141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15" name="Text Box 141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16" name="Text Box 141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17" name="Text Box 141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18" name="Text Box 141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19" name="Text Box 141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20" name="Text Box 142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21" name="Text Box 142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22" name="Text Box 142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23" name="Text Box 1423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24" name="Text Box 142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25" name="Text Box 142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26" name="Text Box 1426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27" name="Text Box 142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28" name="Text Box 142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29" name="Text Box 142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30" name="Text Box 143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31" name="Text Box 143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32" name="Text Box 143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33" name="Text Box 143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34" name="Text Box 143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35" name="Text Box 143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36" name="Text Box 143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37" name="Text Box 143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38" name="Text Box 143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39" name="Text Box 143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40" name="Text Box 144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41" name="Text Box 144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42" name="Text Box 144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43" name="Text Box 144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44" name="Text Box 144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45" name="Text Box 144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46" name="Text Box 144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47" name="Text Box 144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48" name="Text Box 144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49" name="Text Box 144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50" name="Text Box 145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51" name="Text Box 145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52" name="Text Box 145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53" name="Text Box 1453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54" name="Text Box 145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55" name="Text Box 145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56" name="Text Box 1456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57" name="Text Box 145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58" name="Text Box 145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59" name="Text Box 145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60" name="Text Box 146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61" name="Text Box 146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62" name="Text Box 146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63" name="Text Box 146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64" name="Text Box 146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65" name="Text Box 146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66" name="Text Box 146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67" name="Text Box 146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68" name="Text Box 146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69" name="Text Box 146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70" name="Text Box 147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71" name="Text Box 147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72" name="Text Box 147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73" name="Text Box 147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74" name="Text Box 147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75" name="Text Box 147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76" name="Text Box 147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77" name="Text Box 147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78" name="Text Box 147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79" name="Text Box 147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80" name="Text Box 148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81" name="Text Box 148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82" name="Text Box 148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83" name="Text Box 1483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84" name="Text Box 148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85" name="Text Box 148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86" name="Text Box 1486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87" name="Text Box 148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88" name="Text Box 148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89" name="Text Box 148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90" name="Text Box 149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91" name="Text Box 149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92" name="Text Box 149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93" name="Text Box 149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94" name="Text Box 149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95" name="Text Box 149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96" name="Text Box 149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97" name="Text Box 149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498" name="Text Box 149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499" name="Text Box 149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00" name="Text Box 150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01" name="Text Box 150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02" name="Text Box 150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03" name="Text Box 150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04" name="Text Box 150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05" name="Text Box 150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06" name="Text Box 150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07" name="Text Box 150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08" name="Text Box 150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09" name="Text Box 150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10" name="Text Box 151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11" name="Text Box 151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12" name="Text Box 151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13" name="Text Box 1513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14" name="Text Box 151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15" name="Text Box 151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16" name="Text Box 1516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17" name="Text Box 151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18" name="Text Box 151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19" name="Text Box 151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20" name="Text Box 152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21" name="Text Box 152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22" name="Text Box 152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23" name="Text Box 152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24" name="Text Box 152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25" name="Text Box 152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26" name="Text Box 152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27" name="Text Box 152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28" name="Text Box 152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29" name="Text Box 152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30" name="Text Box 153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31" name="Text Box 153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32" name="Text Box 153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33" name="Text Box 153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34" name="Text Box 153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35" name="Text Box 153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36" name="Text Box 153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37" name="Text Box 153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38" name="Text Box 153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39" name="Text Box 153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40" name="Text Box 154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41" name="Text Box 154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42" name="Text Box 154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43" name="Text Box 1543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44" name="Text Box 154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45" name="Text Box 154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46" name="Text Box 1546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47" name="Text Box 154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48" name="Text Box 154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49" name="Text Box 154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50" name="Text Box 155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51" name="Text Box 155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52" name="Text Box 155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53" name="Text Box 155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54" name="Text Box 155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55" name="Text Box 155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56" name="Text Box 155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57" name="Text Box 155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58" name="Text Box 155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59" name="Text Box 155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60" name="Text Box 156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61" name="Text Box 156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62" name="Text Box 156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63" name="Text Box 156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64" name="Text Box 156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65" name="Text Box 156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66" name="Text Box 156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67" name="Text Box 156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68" name="Text Box 156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69" name="Text Box 156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70" name="Text Box 157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71" name="Text Box 157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72" name="Text Box 157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73" name="Text Box 1573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74" name="Text Box 157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75" name="Text Box 157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76" name="Text Box 1576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77" name="Text Box 157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78" name="Text Box 157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79" name="Text Box 1579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80" name="Text Box 158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81" name="Text Box 158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82" name="Text Box 1582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83" name="Text Box 158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84" name="Text Box 1584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85" name="Text Box 1585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86" name="Text Box 158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87" name="Text Box 1587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88" name="Text Box 1588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89" name="Text Box 158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90" name="Text Box 1590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91" name="Text Box 1591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92" name="Text Box 159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93" name="Text Box 1593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94" name="Text Box 1594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95" name="Text Box 1595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96" name="Text Box 1596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597" name="Text Box 1597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98" name="Text Box 1598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599" name="Text Box 1599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276225" cy="361950"/>
    <xdr:sp fLocksText="0">
      <xdr:nvSpPr>
        <xdr:cNvPr id="1600" name="Text Box 1600"/>
        <xdr:cNvSpPr txBox="1">
          <a:spLocks noChangeArrowheads="1"/>
        </xdr:cNvSpPr>
      </xdr:nvSpPr>
      <xdr:spPr>
        <a:xfrm>
          <a:off x="3886200" y="16792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601" name="Text Box 1601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88</xdr:row>
      <xdr:rowOff>0</xdr:rowOff>
    </xdr:from>
    <xdr:ext cx="0" cy="361950"/>
    <xdr:sp fLocksText="0">
      <xdr:nvSpPr>
        <xdr:cNvPr id="1602" name="Text Box 1602"/>
        <xdr:cNvSpPr txBox="1">
          <a:spLocks noChangeArrowheads="1"/>
        </xdr:cNvSpPr>
      </xdr:nvSpPr>
      <xdr:spPr>
        <a:xfrm>
          <a:off x="3276600" y="16792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276225" cy="361950"/>
    <xdr:sp fLocksText="0">
      <xdr:nvSpPr>
        <xdr:cNvPr id="1603" name="Text Box 1603"/>
        <xdr:cNvSpPr txBox="1">
          <a:spLocks noChangeArrowheads="1"/>
        </xdr:cNvSpPr>
      </xdr:nvSpPr>
      <xdr:spPr>
        <a:xfrm>
          <a:off x="3886200" y="16983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04" name="Text Box 1604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05" name="Text Box 1605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276225" cy="361950"/>
    <xdr:sp fLocksText="0">
      <xdr:nvSpPr>
        <xdr:cNvPr id="1606" name="Text Box 1606"/>
        <xdr:cNvSpPr txBox="1">
          <a:spLocks noChangeArrowheads="1"/>
        </xdr:cNvSpPr>
      </xdr:nvSpPr>
      <xdr:spPr>
        <a:xfrm>
          <a:off x="3886200" y="16983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07" name="Text Box 1607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08" name="Text Box 1608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276225" cy="361950"/>
    <xdr:sp fLocksText="0">
      <xdr:nvSpPr>
        <xdr:cNvPr id="1609" name="Text Box 1609"/>
        <xdr:cNvSpPr txBox="1">
          <a:spLocks noChangeArrowheads="1"/>
        </xdr:cNvSpPr>
      </xdr:nvSpPr>
      <xdr:spPr>
        <a:xfrm>
          <a:off x="3886200" y="16983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10" name="Text Box 1610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11" name="Text Box 1611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276225" cy="361950"/>
    <xdr:sp fLocksText="0">
      <xdr:nvSpPr>
        <xdr:cNvPr id="1612" name="Text Box 1612"/>
        <xdr:cNvSpPr txBox="1">
          <a:spLocks noChangeArrowheads="1"/>
        </xdr:cNvSpPr>
      </xdr:nvSpPr>
      <xdr:spPr>
        <a:xfrm>
          <a:off x="3886200" y="16983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13" name="Text Box 1613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14" name="Text Box 1614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276225" cy="361950"/>
    <xdr:sp fLocksText="0">
      <xdr:nvSpPr>
        <xdr:cNvPr id="1615" name="Text Box 1615"/>
        <xdr:cNvSpPr txBox="1">
          <a:spLocks noChangeArrowheads="1"/>
        </xdr:cNvSpPr>
      </xdr:nvSpPr>
      <xdr:spPr>
        <a:xfrm>
          <a:off x="3886200" y="16983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16" name="Text Box 1616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17" name="Text Box 1617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276225" cy="361950"/>
    <xdr:sp fLocksText="0">
      <xdr:nvSpPr>
        <xdr:cNvPr id="1618" name="Text Box 1618"/>
        <xdr:cNvSpPr txBox="1">
          <a:spLocks noChangeArrowheads="1"/>
        </xdr:cNvSpPr>
      </xdr:nvSpPr>
      <xdr:spPr>
        <a:xfrm>
          <a:off x="3886200" y="16983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19" name="Text Box 1619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20" name="Text Box 1620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276225" cy="361950"/>
    <xdr:sp fLocksText="0">
      <xdr:nvSpPr>
        <xdr:cNvPr id="1621" name="Text Box 1621"/>
        <xdr:cNvSpPr txBox="1">
          <a:spLocks noChangeArrowheads="1"/>
        </xdr:cNvSpPr>
      </xdr:nvSpPr>
      <xdr:spPr>
        <a:xfrm>
          <a:off x="3886200" y="16983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22" name="Text Box 1622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23" name="Text Box 1623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276225" cy="361950"/>
    <xdr:sp fLocksText="0">
      <xdr:nvSpPr>
        <xdr:cNvPr id="1624" name="Text Box 1624"/>
        <xdr:cNvSpPr txBox="1">
          <a:spLocks noChangeArrowheads="1"/>
        </xdr:cNvSpPr>
      </xdr:nvSpPr>
      <xdr:spPr>
        <a:xfrm>
          <a:off x="3886200" y="16983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25" name="Text Box 1625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89</xdr:row>
      <xdr:rowOff>0</xdr:rowOff>
    </xdr:from>
    <xdr:ext cx="0" cy="361950"/>
    <xdr:sp fLocksText="0">
      <xdr:nvSpPr>
        <xdr:cNvPr id="1626" name="Text Box 1626"/>
        <xdr:cNvSpPr txBox="1">
          <a:spLocks noChangeArrowheads="1"/>
        </xdr:cNvSpPr>
      </xdr:nvSpPr>
      <xdr:spPr>
        <a:xfrm>
          <a:off x="3276600" y="1698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27" name="Text Box 1627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28" name="Text Box 1628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29" name="Text Box 1629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30" name="Text Box 1630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31" name="Text Box 1631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32" name="Text Box 1632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33" name="Text Box 1633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34" name="Text Box 1634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35" name="Text Box 1635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36" name="Text Box 1636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37" name="Text Box 1637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38" name="Text Box 1638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39" name="Text Box 1639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40" name="Text Box 1640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41" name="Text Box 1641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42" name="Text Box 1642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43" name="Text Box 1643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44" name="Text Box 1644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45" name="Text Box 1645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46" name="Text Box 1646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47" name="Text Box 1647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48" name="Text Box 1648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49" name="Text Box 1649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50" name="Text Box 1650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51" name="Text Box 1651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52" name="Text Box 1652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53" name="Text Box 1653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54" name="Text Box 1654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55" name="Text Box 1655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56" name="Text Box 1656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57" name="Text Box 1657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58" name="Text Box 1658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59" name="Text Box 1659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60" name="Text Box 1660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61" name="Text Box 1661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62" name="Text Box 1662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63" name="Text Box 1663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64" name="Text Box 1664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65" name="Text Box 1665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66" name="Text Box 1666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67" name="Text Box 1667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68" name="Text Box 1668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69" name="Text Box 1669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70" name="Text Box 1670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71" name="Text Box 1671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72" name="Text Box 1672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73" name="Text Box 1673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74" name="Text Box 1674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75" name="Text Box 1675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76" name="Text Box 1676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77" name="Text Box 1677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78" name="Text Box 1678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79" name="Text Box 1679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80" name="Text Box 1680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81" name="Text Box 1681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82" name="Text Box 1682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83" name="Text Box 1683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84" name="Text Box 1684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85" name="Text Box 1685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86" name="Text Box 1686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87" name="Text Box 1687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88" name="Text Box 1688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89" name="Text Box 1689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90" name="Text Box 1690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91" name="Text Box 1691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92" name="Text Box 1692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93" name="Text Box 1693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94" name="Text Box 1694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95" name="Text Box 1695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76225" cy="361950"/>
    <xdr:sp fLocksText="0">
      <xdr:nvSpPr>
        <xdr:cNvPr id="1696" name="Text Box 1696"/>
        <xdr:cNvSpPr txBox="1">
          <a:spLocks noChangeArrowheads="1"/>
        </xdr:cNvSpPr>
      </xdr:nvSpPr>
      <xdr:spPr>
        <a:xfrm>
          <a:off x="3886200" y="17364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97" name="Text Box 1697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91</xdr:row>
      <xdr:rowOff>0</xdr:rowOff>
    </xdr:from>
    <xdr:ext cx="0" cy="361950"/>
    <xdr:sp fLocksText="0">
      <xdr:nvSpPr>
        <xdr:cNvPr id="1698" name="Text Box 1698"/>
        <xdr:cNvSpPr txBox="1">
          <a:spLocks noChangeArrowheads="1"/>
        </xdr:cNvSpPr>
      </xdr:nvSpPr>
      <xdr:spPr>
        <a:xfrm>
          <a:off x="3276600" y="17364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699" name="Text Box 1699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00" name="Text Box 170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01" name="Text Box 1701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02" name="Text Box 1702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03" name="Text Box 170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04" name="Text Box 1704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05" name="Text Box 1705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06" name="Text Box 170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07" name="Text Box 170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08" name="Text Box 1708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09" name="Text Box 170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10" name="Text Box 17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11" name="Text Box 1711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12" name="Text Box 17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13" name="Text Box 17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14" name="Text Box 1714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15" name="Text Box 1715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16" name="Text Box 171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17" name="Text Box 1717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18" name="Text Box 1718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19" name="Text Box 171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20" name="Text Box 1720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21" name="Text Box 1721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22" name="Text Box 172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23" name="Text Box 1723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24" name="Text Box 1724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25" name="Text Box 1725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26" name="Text Box 1726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27" name="Text Box 172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28" name="Text Box 1728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29" name="Text Box 1729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30" name="Text Box 173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31" name="Text Box 1731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32" name="Text Box 1732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33" name="Text Box 173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34" name="Text Box 1734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35" name="Text Box 1735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36" name="Text Box 173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37" name="Text Box 173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38" name="Text Box 1738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39" name="Text Box 173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40" name="Text Box 174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41" name="Text Box 1741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42" name="Text Box 174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43" name="Text Box 174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44" name="Text Box 1744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45" name="Text Box 1745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46" name="Text Box 174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47" name="Text Box 1747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48" name="Text Box 1748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49" name="Text Box 174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50" name="Text Box 1750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51" name="Text Box 1751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52" name="Text Box 175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53" name="Text Box 1753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54" name="Text Box 1754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55" name="Text Box 1755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56" name="Text Box 1756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57" name="Text Box 175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58" name="Text Box 1758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59" name="Text Box 1759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60" name="Text Box 176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61" name="Text Box 1761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62" name="Text Box 1762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63" name="Text Box 176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64" name="Text Box 1764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65" name="Text Box 1765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66" name="Text Box 176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67" name="Text Box 176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76225" cy="361950"/>
    <xdr:sp fLocksText="0">
      <xdr:nvSpPr>
        <xdr:cNvPr id="1768" name="Text Box 1768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69" name="Text Box 176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70" name="Text Box 177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771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72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73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774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75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76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777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78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79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780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81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82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783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84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85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786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87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88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789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90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91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792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93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94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795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96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97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798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799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00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01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02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03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04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05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06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07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08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09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10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11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12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13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14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15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16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17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18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19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20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21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22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23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24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25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26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27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28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29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30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31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32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33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34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35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36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37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38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39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40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41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42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43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44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45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46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47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48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49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50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51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52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53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54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55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56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57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58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59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60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61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62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63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64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65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66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67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68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69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70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71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72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73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74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75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76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77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78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79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80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81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82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83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84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85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86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87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88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89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90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91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92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93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94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95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96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897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98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899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00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01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02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03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04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05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06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07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08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09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10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11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12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13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14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15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16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17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18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19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20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21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22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23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24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25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26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27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28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29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30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31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32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33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34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35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36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37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38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39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40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41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42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43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44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45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46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47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48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49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50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51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52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53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54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55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56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57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58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59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60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61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62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63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64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65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66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67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68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69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70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71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72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73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74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75" name="Text Box 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76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77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78" name="Text Box 5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79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80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81" name="Text Box 8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82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83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57150" cy="361950"/>
    <xdr:sp fLocksText="0">
      <xdr:nvSpPr>
        <xdr:cNvPr id="1984" name="Text Box 11"/>
        <xdr:cNvSpPr txBox="1">
          <a:spLocks noChangeArrowheads="1"/>
        </xdr:cNvSpPr>
      </xdr:nvSpPr>
      <xdr:spPr>
        <a:xfrm>
          <a:off x="3886200" y="17554575"/>
          <a:ext cx="57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85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86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276225" cy="361950"/>
    <xdr:sp fLocksText="0">
      <xdr:nvSpPr>
        <xdr:cNvPr id="1987" name="Text Box 1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88" name="Text Box 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89" name="Text Box 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276225" cy="361950"/>
    <xdr:sp fLocksText="0">
      <xdr:nvSpPr>
        <xdr:cNvPr id="1990" name="Text Box 5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91" name="Text Box 6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92" name="Text Box 7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276225" cy="361950"/>
    <xdr:sp fLocksText="0">
      <xdr:nvSpPr>
        <xdr:cNvPr id="1993" name="Text Box 8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94" name="Text Box 9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95" name="Text Box 10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92</xdr:row>
      <xdr:rowOff>0</xdr:rowOff>
    </xdr:from>
    <xdr:ext cx="276225" cy="361950"/>
    <xdr:sp fLocksText="0">
      <xdr:nvSpPr>
        <xdr:cNvPr id="1996" name="Text Box 11"/>
        <xdr:cNvSpPr txBox="1">
          <a:spLocks noChangeArrowheads="1"/>
        </xdr:cNvSpPr>
      </xdr:nvSpPr>
      <xdr:spPr>
        <a:xfrm>
          <a:off x="3886200" y="17554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97" name="Text Box 12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92</xdr:row>
      <xdr:rowOff>0</xdr:rowOff>
    </xdr:from>
    <xdr:ext cx="0" cy="361950"/>
    <xdr:sp fLocksText="0">
      <xdr:nvSpPr>
        <xdr:cNvPr id="1998" name="Text Box 13"/>
        <xdr:cNvSpPr txBox="1">
          <a:spLocks noChangeArrowheads="1"/>
        </xdr:cNvSpPr>
      </xdr:nvSpPr>
      <xdr:spPr>
        <a:xfrm>
          <a:off x="3276600" y="17554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1999" name="Text Box 1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00" name="Text Box 2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01" name="Text Box 3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002" name="Text Box 5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03" name="Text Box 6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04" name="Text Box 7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005" name="Text Box 8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06" name="Text Box 9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07" name="Text Box 10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008" name="Text Box 11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09" name="Text Box 12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10" name="Text Box 13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011" name="Text Box 1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12" name="Text Box 2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13" name="Text Box 3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014" name="Text Box 5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15" name="Text Box 6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16" name="Text Box 7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017" name="Text Box 8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18" name="Text Box 9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19" name="Text Box 10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020" name="Text Box 11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21" name="Text Box 12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22" name="Text Box 13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23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24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25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26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27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28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29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30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31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32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33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34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35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36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37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38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39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40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41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42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43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44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45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46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47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48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49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50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51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52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53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54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55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56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57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58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59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60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61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62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63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64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65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66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67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68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69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70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71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72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73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74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75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76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77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78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79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80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81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82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83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84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85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86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87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88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89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90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91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092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93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094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095" name="Text Box 1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96" name="Text Box 2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97" name="Text Box 3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098" name="Text Box 5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099" name="Text Box 6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00" name="Text Box 7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101" name="Text Box 8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02" name="Text Box 9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03" name="Text Box 10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104" name="Text Box 11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05" name="Text Box 12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06" name="Text Box 13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107" name="Text Box 1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08" name="Text Box 2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09" name="Text Box 3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110" name="Text Box 5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11" name="Text Box 6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12" name="Text Box 7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113" name="Text Box 8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14" name="Text Box 9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15" name="Text Box 10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94</xdr:row>
      <xdr:rowOff>0</xdr:rowOff>
    </xdr:from>
    <xdr:ext cx="276225" cy="361950"/>
    <xdr:sp fLocksText="0">
      <xdr:nvSpPr>
        <xdr:cNvPr id="2116" name="Text Box 11"/>
        <xdr:cNvSpPr txBox="1">
          <a:spLocks noChangeArrowheads="1"/>
        </xdr:cNvSpPr>
      </xdr:nvSpPr>
      <xdr:spPr>
        <a:xfrm>
          <a:off x="3886200" y="17935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17" name="Text Box 12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94</xdr:row>
      <xdr:rowOff>0</xdr:rowOff>
    </xdr:from>
    <xdr:ext cx="0" cy="361950"/>
    <xdr:sp fLocksText="0">
      <xdr:nvSpPr>
        <xdr:cNvPr id="2118" name="Text Box 13"/>
        <xdr:cNvSpPr txBox="1">
          <a:spLocks noChangeArrowheads="1"/>
        </xdr:cNvSpPr>
      </xdr:nvSpPr>
      <xdr:spPr>
        <a:xfrm>
          <a:off x="3276600" y="17935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19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20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21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22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23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24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25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26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27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28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29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30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31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32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33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34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35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36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37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38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39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40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41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42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43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44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45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46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47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48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49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50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51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52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53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54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55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56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57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58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59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60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61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62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63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64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65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66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67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68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69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70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71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72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73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74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75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76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77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78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79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80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81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82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83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84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85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86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87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88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89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90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91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92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93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94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95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96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197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98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199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200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01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02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203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04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05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206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07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08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209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10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11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212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13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14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215" name="Text Box 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16" name="Text Box 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17" name="Text Box 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218" name="Text Box 5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19" name="Text Box 6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20" name="Text Box 7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221" name="Text Box 8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22" name="Text Box 9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23" name="Text Box 10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609600</xdr:colOff>
      <xdr:row>96</xdr:row>
      <xdr:rowOff>0</xdr:rowOff>
    </xdr:from>
    <xdr:ext cx="276225" cy="361950"/>
    <xdr:sp fLocksText="0">
      <xdr:nvSpPr>
        <xdr:cNvPr id="2224" name="Text Box 11"/>
        <xdr:cNvSpPr txBox="1">
          <a:spLocks noChangeArrowheads="1"/>
        </xdr:cNvSpPr>
      </xdr:nvSpPr>
      <xdr:spPr>
        <a:xfrm>
          <a:off x="3886200" y="183165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25" name="Text Box 12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2733675</xdr:colOff>
      <xdr:row>96</xdr:row>
      <xdr:rowOff>0</xdr:rowOff>
    </xdr:from>
    <xdr:ext cx="0" cy="361950"/>
    <xdr:sp fLocksText="0">
      <xdr:nvSpPr>
        <xdr:cNvPr id="2226" name="Text Box 13"/>
        <xdr:cNvSpPr txBox="1">
          <a:spLocks noChangeArrowheads="1"/>
        </xdr:cNvSpPr>
      </xdr:nvSpPr>
      <xdr:spPr>
        <a:xfrm>
          <a:off x="3276600" y="183165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tabSelected="1" workbookViewId="0" topLeftCell="A46">
      <selection activeCell="E78" sqref="E78"/>
    </sheetView>
  </sheetViews>
  <sheetFormatPr defaultColWidth="9.6640625" defaultRowHeight="15"/>
  <cols>
    <col min="1" max="1" width="7.6640625" style="1" customWidth="1"/>
    <col min="2" max="2" width="42.4453125" style="1" customWidth="1"/>
    <col min="3" max="3" width="7.3359375" style="1" customWidth="1"/>
    <col min="4" max="4" width="9.88671875" style="1" customWidth="1"/>
    <col min="5" max="5" width="12.5546875" style="110" customWidth="1"/>
    <col min="6" max="6" width="12.99609375" style="1" customWidth="1"/>
    <col min="7" max="7" width="12.10546875" style="1" customWidth="1"/>
    <col min="8" max="8" width="8.77734375" style="1" bestFit="1" customWidth="1"/>
    <col min="9" max="9" width="23.4453125" style="1" bestFit="1" customWidth="1"/>
    <col min="10" max="10" width="9.6640625" style="1" customWidth="1"/>
    <col min="11" max="11" width="11.6640625" style="1" customWidth="1"/>
    <col min="12" max="12" width="6.4453125" style="1" customWidth="1"/>
    <col min="13" max="13" width="7.21484375" style="1" customWidth="1"/>
    <col min="14" max="14" width="8.21484375" style="1" customWidth="1"/>
    <col min="15" max="15" width="8.10546875" style="1" customWidth="1"/>
    <col min="16" max="16" width="7.88671875" style="1" customWidth="1"/>
    <col min="17" max="17" width="11.6640625" style="1" bestFit="1" customWidth="1"/>
    <col min="18" max="18" width="11.10546875" style="1" customWidth="1"/>
    <col min="19" max="19" width="12.21484375" style="1" customWidth="1"/>
    <col min="20" max="20" width="11.3359375" style="1" customWidth="1"/>
    <col min="21" max="24" width="10.3359375" style="1" bestFit="1" customWidth="1"/>
    <col min="25" max="16384" width="9.6640625" style="1" customWidth="1"/>
  </cols>
  <sheetData>
    <row r="1" spans="1:17" ht="50.25" customHeight="1">
      <c r="A1" s="490" t="s">
        <v>955</v>
      </c>
      <c r="B1" s="486"/>
      <c r="C1" s="482"/>
      <c r="D1" s="491"/>
      <c r="E1" s="109"/>
      <c r="F1" s="122"/>
      <c r="G1" s="122"/>
      <c r="Q1" s="2" t="s">
        <v>0</v>
      </c>
    </row>
    <row r="2" spans="1:17" ht="18.75" customHeight="1">
      <c r="A2" s="492"/>
      <c r="B2" s="493"/>
      <c r="C2" s="483"/>
      <c r="D2" s="122"/>
      <c r="E2" s="494"/>
      <c r="F2" s="122"/>
      <c r="G2" s="494"/>
      <c r="J2" s="2" t="s">
        <v>0</v>
      </c>
      <c r="Q2" s="2" t="s">
        <v>0</v>
      </c>
    </row>
    <row r="3" spans="1:7" ht="18.75" customHeight="1">
      <c r="A3" s="132"/>
      <c r="B3" s="478"/>
      <c r="C3" s="132"/>
      <c r="D3" s="132"/>
      <c r="E3" s="484"/>
      <c r="F3" s="132"/>
      <c r="G3" s="485"/>
    </row>
    <row r="4" spans="1:7" ht="15.75" customHeight="1" thickBot="1">
      <c r="A4" s="291"/>
      <c r="B4" s="122"/>
      <c r="C4" s="290"/>
      <c r="D4" s="122"/>
      <c r="E4" s="292"/>
      <c r="F4" s="5"/>
      <c r="G4" s="292"/>
    </row>
    <row r="5" spans="1:17" ht="15" thickBot="1">
      <c r="A5" s="135" t="s">
        <v>1011</v>
      </c>
      <c r="B5" s="136"/>
      <c r="C5" s="136"/>
      <c r="D5" s="136"/>
      <c r="E5" s="289"/>
      <c r="F5" s="289"/>
      <c r="G5" s="137"/>
      <c r="J5" s="2" t="s">
        <v>0</v>
      </c>
      <c r="Q5" s="2" t="s">
        <v>0</v>
      </c>
    </row>
    <row r="6" ht="15">
      <c r="B6" s="123" t="s">
        <v>600</v>
      </c>
    </row>
    <row r="7" spans="2:7" ht="15" thickBot="1">
      <c r="B7" s="123" t="s">
        <v>1004</v>
      </c>
      <c r="F7" s="122" t="s">
        <v>1009</v>
      </c>
      <c r="G7" s="528">
        <v>20</v>
      </c>
    </row>
    <row r="8" spans="1:17" ht="15" thickTop="1">
      <c r="A8" s="20"/>
      <c r="B8" s="20"/>
      <c r="C8" s="20"/>
      <c r="D8" s="138"/>
      <c r="E8" s="139" t="s">
        <v>1</v>
      </c>
      <c r="F8" s="138" t="s">
        <v>2</v>
      </c>
      <c r="G8" s="519" t="s">
        <v>2</v>
      </c>
      <c r="J8" s="2" t="s">
        <v>0</v>
      </c>
      <c r="Q8" s="2" t="s">
        <v>0</v>
      </c>
    </row>
    <row r="9" spans="1:22" ht="15">
      <c r="A9" s="13" t="s">
        <v>0</v>
      </c>
      <c r="B9" s="14"/>
      <c r="C9" s="15" t="s">
        <v>3</v>
      </c>
      <c r="D9" s="140" t="s">
        <v>4</v>
      </c>
      <c r="E9" s="141" t="s">
        <v>5</v>
      </c>
      <c r="F9" s="140" t="s">
        <v>6</v>
      </c>
      <c r="G9" s="527" t="s">
        <v>183</v>
      </c>
      <c r="I9" s="335" t="s">
        <v>0</v>
      </c>
      <c r="K9" s="7" t="s">
        <v>0</v>
      </c>
      <c r="Q9" s="2" t="s">
        <v>0</v>
      </c>
      <c r="V9" s="4" t="s">
        <v>0</v>
      </c>
    </row>
    <row r="10" spans="4:22" ht="15">
      <c r="D10" s="142"/>
      <c r="E10" s="143"/>
      <c r="F10" s="142"/>
      <c r="G10" s="40"/>
      <c r="J10" s="2" t="s">
        <v>0</v>
      </c>
      <c r="K10" s="7" t="s">
        <v>0</v>
      </c>
      <c r="Q10" s="2" t="s">
        <v>0</v>
      </c>
      <c r="V10" s="4" t="s">
        <v>0</v>
      </c>
    </row>
    <row r="11" spans="1:22" ht="15">
      <c r="A11" s="6" t="s">
        <v>7</v>
      </c>
      <c r="D11" s="142"/>
      <c r="E11" s="143"/>
      <c r="F11" s="142"/>
      <c r="G11" s="40"/>
      <c r="J11" s="2" t="s">
        <v>0</v>
      </c>
      <c r="K11" s="7" t="s">
        <v>0</v>
      </c>
      <c r="Q11" s="2" t="s">
        <v>0</v>
      </c>
      <c r="V11" s="4" t="s">
        <v>0</v>
      </c>
    </row>
    <row r="12" spans="2:22" ht="15">
      <c r="B12" s="122" t="s">
        <v>998</v>
      </c>
      <c r="C12" s="124" t="s">
        <v>245</v>
      </c>
      <c r="D12" s="528">
        <v>1500</v>
      </c>
      <c r="E12" s="295"/>
      <c r="F12" s="144">
        <f>ROUND((D12*E12),2)</f>
        <v>0</v>
      </c>
      <c r="G12" s="521">
        <f>F12*G7</f>
        <v>0</v>
      </c>
      <c r="I12" s="3"/>
      <c r="J12" s="2"/>
      <c r="Q12" s="2" t="s">
        <v>0</v>
      </c>
      <c r="V12" s="4" t="s">
        <v>0</v>
      </c>
    </row>
    <row r="13" spans="2:22" ht="15">
      <c r="B13" s="123" t="s">
        <v>999</v>
      </c>
      <c r="C13" s="124" t="s">
        <v>997</v>
      </c>
      <c r="D13" s="528"/>
      <c r="E13" s="295"/>
      <c r="F13" s="144"/>
      <c r="G13" s="521"/>
      <c r="I13" s="3"/>
      <c r="J13" s="2"/>
      <c r="Q13" s="2"/>
      <c r="V13" s="4"/>
    </row>
    <row r="14" spans="3:17" ht="15">
      <c r="C14" s="9" t="s">
        <v>0</v>
      </c>
      <c r="D14" s="528" t="s">
        <v>0</v>
      </c>
      <c r="E14" s="143" t="s">
        <v>0</v>
      </c>
      <c r="F14" s="144"/>
      <c r="G14" s="522"/>
      <c r="I14" s="3"/>
      <c r="Q14" s="2" t="s">
        <v>0</v>
      </c>
    </row>
    <row r="15" spans="2:17" ht="15">
      <c r="B15" s="7" t="s">
        <v>10</v>
      </c>
      <c r="D15" s="528"/>
      <c r="E15" s="143"/>
      <c r="F15" s="145">
        <f>SUM(F12:F14)</f>
        <v>0</v>
      </c>
      <c r="G15" s="523">
        <f>IF(G12=0,0,G12)</f>
        <v>0</v>
      </c>
      <c r="Q15" s="2" t="s">
        <v>0</v>
      </c>
    </row>
    <row r="16" spans="3:17" ht="15" thickBot="1">
      <c r="C16" s="9" t="s">
        <v>0</v>
      </c>
      <c r="D16" s="528"/>
      <c r="E16" s="143" t="s">
        <v>0</v>
      </c>
      <c r="F16" s="142" t="s">
        <v>0</v>
      </c>
      <c r="G16" s="522"/>
      <c r="I16" s="336"/>
      <c r="J16" s="2" t="s">
        <v>0</v>
      </c>
      <c r="Q16" s="2" t="s">
        <v>0</v>
      </c>
    </row>
    <row r="17" spans="1:22" ht="15" thickBot="1">
      <c r="A17" s="6" t="s">
        <v>11</v>
      </c>
      <c r="C17" s="9" t="s">
        <v>0</v>
      </c>
      <c r="D17" s="528" t="s">
        <v>0</v>
      </c>
      <c r="E17" s="143" t="s">
        <v>0</v>
      </c>
      <c r="F17" s="142" t="s">
        <v>0</v>
      </c>
      <c r="G17" s="522"/>
      <c r="I17" s="337" t="s">
        <v>36</v>
      </c>
      <c r="J17" s="2" t="s">
        <v>0</v>
      </c>
      <c r="Q17" s="2" t="s">
        <v>0</v>
      </c>
      <c r="V17" s="4" t="s">
        <v>0</v>
      </c>
    </row>
    <row r="18" spans="2:22" ht="15">
      <c r="B18" s="123" t="s">
        <v>1001</v>
      </c>
      <c r="C18" s="124" t="s">
        <v>1006</v>
      </c>
      <c r="D18" s="528">
        <v>2500</v>
      </c>
      <c r="E18" s="146">
        <v>1</v>
      </c>
      <c r="F18" s="144">
        <f>E18*D18</f>
        <v>2500</v>
      </c>
      <c r="G18" s="521">
        <f>F18*$G$7</f>
        <v>50000</v>
      </c>
      <c r="I18" s="338"/>
      <c r="J18" s="2"/>
      <c r="K18" s="7"/>
      <c r="Q18" s="2"/>
      <c r="V18" s="4"/>
    </row>
    <row r="19" spans="2:22" ht="15">
      <c r="B19" s="123" t="s">
        <v>1002</v>
      </c>
      <c r="C19" s="124" t="s">
        <v>1008</v>
      </c>
      <c r="D19" s="528">
        <v>200</v>
      </c>
      <c r="E19" s="146">
        <v>5</v>
      </c>
      <c r="F19" s="144">
        <f>E19*D19</f>
        <v>1000</v>
      </c>
      <c r="G19" s="521">
        <f>F19*$G$7</f>
        <v>20000</v>
      </c>
      <c r="I19" s="338"/>
      <c r="J19" s="2"/>
      <c r="K19" s="7"/>
      <c r="Q19" s="2"/>
      <c r="V19" s="4"/>
    </row>
    <row r="20" spans="2:22" ht="15">
      <c r="B20" s="123" t="s">
        <v>1003</v>
      </c>
      <c r="C20" s="124" t="s">
        <v>13</v>
      </c>
      <c r="D20" s="528">
        <v>1</v>
      </c>
      <c r="E20" s="146">
        <v>1350</v>
      </c>
      <c r="F20" s="144">
        <f>ROUND((D20*E20),2)</f>
        <v>1350</v>
      </c>
      <c r="G20" s="521">
        <f>F20*$G$7</f>
        <v>27000</v>
      </c>
      <c r="I20" s="531">
        <v>5</v>
      </c>
      <c r="J20" s="2" t="s">
        <v>0</v>
      </c>
      <c r="K20" s="7"/>
      <c r="Q20" s="2" t="s">
        <v>0</v>
      </c>
      <c r="V20" s="4" t="s">
        <v>0</v>
      </c>
    </row>
    <row r="21" spans="2:17" ht="15">
      <c r="B21" s="123" t="s">
        <v>1017</v>
      </c>
      <c r="C21" s="124" t="s">
        <v>13</v>
      </c>
      <c r="D21" s="528">
        <v>1</v>
      </c>
      <c r="E21" s="147">
        <v>750</v>
      </c>
      <c r="F21" s="144">
        <f>D21*E21</f>
        <v>750</v>
      </c>
      <c r="G21" s="521">
        <f>F21*$G$7</f>
        <v>15000</v>
      </c>
      <c r="I21" s="531"/>
      <c r="J21" s="2" t="s">
        <v>0</v>
      </c>
      <c r="K21" s="7" t="s">
        <v>0</v>
      </c>
      <c r="Q21" s="2" t="s">
        <v>0</v>
      </c>
    </row>
    <row r="22" spans="2:17" ht="15">
      <c r="B22" s="123" t="s">
        <v>1016</v>
      </c>
      <c r="C22" s="9" t="str">
        <f>VLOOKUP(I22,Seeds,4)</f>
        <v>LBS</v>
      </c>
      <c r="D22" s="528">
        <v>150</v>
      </c>
      <c r="E22" s="146"/>
      <c r="F22" s="144"/>
      <c r="G22" s="521"/>
      <c r="I22" s="531">
        <v>42</v>
      </c>
      <c r="J22" s="2" t="s">
        <v>0</v>
      </c>
      <c r="K22" s="7" t="s">
        <v>0</v>
      </c>
      <c r="Q22" s="2" t="s">
        <v>0</v>
      </c>
    </row>
    <row r="23" spans="2:17" ht="15">
      <c r="B23" s="64" t="s">
        <v>1018</v>
      </c>
      <c r="C23" s="9" t="str">
        <f>VLOOKUP(I23,Seeds,4)</f>
        <v>LBS</v>
      </c>
      <c r="D23" s="528">
        <v>75</v>
      </c>
      <c r="E23" s="146"/>
      <c r="F23" s="144"/>
      <c r="G23" s="521"/>
      <c r="I23" s="531">
        <v>34.3</v>
      </c>
      <c r="J23" s="2" t="s">
        <v>0</v>
      </c>
      <c r="Q23" s="2" t="s">
        <v>0</v>
      </c>
    </row>
    <row r="24" spans="2:17" ht="15">
      <c r="B24" s="64" t="s">
        <v>1019</v>
      </c>
      <c r="C24" s="124" t="s">
        <v>245</v>
      </c>
      <c r="D24" s="528">
        <v>110</v>
      </c>
      <c r="E24" s="146"/>
      <c r="F24" s="144"/>
      <c r="G24" s="521"/>
      <c r="I24" s="531"/>
      <c r="J24" s="2"/>
      <c r="Q24" s="2"/>
    </row>
    <row r="25" spans="2:17" ht="15" thickBot="1">
      <c r="B25" s="7" t="s">
        <v>12</v>
      </c>
      <c r="C25" s="9" t="str">
        <f>VLOOKUP(I25,Seeds,4)</f>
        <v>TON</v>
      </c>
      <c r="D25" s="528">
        <v>0.33</v>
      </c>
      <c r="E25" s="146">
        <f>VLOOKUP(I25,Seeds,8)</f>
        <v>47.5</v>
      </c>
      <c r="F25" s="144">
        <f>ROUND((D25*E25),2)</f>
        <v>15.68</v>
      </c>
      <c r="G25" s="521">
        <f>F25*$G$7</f>
        <v>313.6</v>
      </c>
      <c r="I25" s="531">
        <v>40</v>
      </c>
      <c r="J25" s="2" t="s">
        <v>0</v>
      </c>
      <c r="Q25" s="2" t="s">
        <v>0</v>
      </c>
    </row>
    <row r="26" spans="2:22" ht="15">
      <c r="B26" s="123" t="s">
        <v>1007</v>
      </c>
      <c r="C26" s="9" t="s">
        <v>13</v>
      </c>
      <c r="D26" s="528">
        <v>1</v>
      </c>
      <c r="E26" s="147">
        <v>650</v>
      </c>
      <c r="F26" s="144">
        <f>D26*E26</f>
        <v>650</v>
      </c>
      <c r="G26" s="521">
        <f>F26*$G$7</f>
        <v>13000</v>
      </c>
      <c r="I26" s="339"/>
      <c r="J26" s="2" t="s">
        <v>0</v>
      </c>
      <c r="K26" s="7" t="s">
        <v>0</v>
      </c>
      <c r="Q26" s="2" t="s">
        <v>0</v>
      </c>
      <c r="V26" s="10" t="s">
        <v>0</v>
      </c>
    </row>
    <row r="27" spans="2:17" ht="15">
      <c r="B27" s="123" t="s">
        <v>1020</v>
      </c>
      <c r="C27" s="9" t="s">
        <v>245</v>
      </c>
      <c r="D27" s="528">
        <f>D12</f>
        <v>1500</v>
      </c>
      <c r="E27" s="513">
        <v>0.12</v>
      </c>
      <c r="F27" s="144">
        <f aca="true" t="shared" si="0" ref="F27:F34">ROUND((D27*E27),2)</f>
        <v>180</v>
      </c>
      <c r="G27" s="521">
        <f>F27*$G$7</f>
        <v>3600</v>
      </c>
      <c r="I27" s="514" t="s">
        <v>0</v>
      </c>
      <c r="J27" s="2" t="s">
        <v>0</v>
      </c>
      <c r="Q27" s="2" t="s">
        <v>0</v>
      </c>
    </row>
    <row r="28" spans="2:17" ht="15">
      <c r="B28" s="123" t="s">
        <v>1028</v>
      </c>
      <c r="C28" s="124" t="s">
        <v>245</v>
      </c>
      <c r="D28" s="528">
        <v>1500</v>
      </c>
      <c r="E28" s="513">
        <v>0.06</v>
      </c>
      <c r="F28" s="144">
        <f>E28*D28</f>
        <v>90</v>
      </c>
      <c r="G28" s="521">
        <f>F28*$G$7</f>
        <v>1800</v>
      </c>
      <c r="I28" s="514"/>
      <c r="J28" s="2"/>
      <c r="Q28" s="2"/>
    </row>
    <row r="29" spans="2:17" ht="15">
      <c r="B29" s="123" t="s">
        <v>1021</v>
      </c>
      <c r="C29" s="9" t="s">
        <v>245</v>
      </c>
      <c r="D29" s="528">
        <f>D12</f>
        <v>1500</v>
      </c>
      <c r="E29" s="513">
        <v>0.214</v>
      </c>
      <c r="F29" s="144">
        <f t="shared" si="0"/>
        <v>321</v>
      </c>
      <c r="G29" s="521">
        <f>F29*$G$7</f>
        <v>6420</v>
      </c>
      <c r="I29" s="51"/>
      <c r="J29" s="2"/>
      <c r="Q29" s="2" t="s">
        <v>0</v>
      </c>
    </row>
    <row r="30" spans="2:17" ht="15">
      <c r="B30" s="123" t="s">
        <v>1012</v>
      </c>
      <c r="C30" s="124" t="s">
        <v>1000</v>
      </c>
      <c r="D30" s="528">
        <v>1</v>
      </c>
      <c r="E30" s="513">
        <f>F30</f>
        <v>60</v>
      </c>
      <c r="F30" s="144">
        <f>G30/G7</f>
        <v>60</v>
      </c>
      <c r="G30" s="521">
        <v>1200</v>
      </c>
      <c r="I30" s="515"/>
      <c r="J30" s="2"/>
      <c r="L30" s="125"/>
      <c r="Q30" s="2" t="s">
        <v>0</v>
      </c>
    </row>
    <row r="31" spans="2:17" ht="15">
      <c r="B31" s="123" t="s">
        <v>1029</v>
      </c>
      <c r="C31" s="124"/>
      <c r="D31" s="528">
        <v>1</v>
      </c>
      <c r="E31" s="513">
        <f>F31</f>
        <v>22.5</v>
      </c>
      <c r="F31" s="144">
        <f>G31/G7</f>
        <v>22.5</v>
      </c>
      <c r="G31" s="521">
        <v>450</v>
      </c>
      <c r="I31" s="515"/>
      <c r="J31" s="2"/>
      <c r="L31" s="125"/>
      <c r="Q31" s="2"/>
    </row>
    <row r="32" spans="2:17" ht="15">
      <c r="B32" s="123" t="s">
        <v>1027</v>
      </c>
      <c r="C32" s="124" t="s">
        <v>13</v>
      </c>
      <c r="D32" s="528">
        <v>1</v>
      </c>
      <c r="E32" s="513">
        <v>300</v>
      </c>
      <c r="F32" s="144">
        <f>D32*E32</f>
        <v>300</v>
      </c>
      <c r="G32" s="521">
        <f>F32*$G$7</f>
        <v>6000</v>
      </c>
      <c r="I32" s="515"/>
      <c r="J32" s="2"/>
      <c r="L32" s="125"/>
      <c r="Q32" s="2"/>
    </row>
    <row r="33" spans="2:22" s="122" customFormat="1" ht="15">
      <c r="B33" s="122" t="s">
        <v>1005</v>
      </c>
      <c r="D33" s="529"/>
      <c r="E33" s="517"/>
      <c r="G33" s="521"/>
      <c r="I33" s="518"/>
      <c r="Q33" s="125" t="s">
        <v>0</v>
      </c>
      <c r="V33" s="126" t="s">
        <v>0</v>
      </c>
    </row>
    <row r="34" spans="2:22" ht="15">
      <c r="B34" s="123" t="s">
        <v>1022</v>
      </c>
      <c r="C34" s="123" t="s">
        <v>14</v>
      </c>
      <c r="D34" s="528">
        <v>27</v>
      </c>
      <c r="E34" s="516">
        <v>15</v>
      </c>
      <c r="F34" s="144">
        <f t="shared" si="0"/>
        <v>405</v>
      </c>
      <c r="G34" s="521">
        <f>F34*$G$7</f>
        <v>8100</v>
      </c>
      <c r="I34" s="525">
        <v>0.2</v>
      </c>
      <c r="J34" s="526" t="s">
        <v>1026</v>
      </c>
      <c r="K34" s="7"/>
      <c r="Q34" s="2"/>
      <c r="V34" s="4"/>
    </row>
    <row r="35" spans="2:22" ht="15">
      <c r="B35" s="123" t="s">
        <v>1023</v>
      </c>
      <c r="C35" s="123" t="s">
        <v>14</v>
      </c>
      <c r="D35" s="528">
        <v>67.5</v>
      </c>
      <c r="E35" s="516">
        <v>15</v>
      </c>
      <c r="F35" s="144">
        <f>ROUND((D35*E35),2)</f>
        <v>1012.5</v>
      </c>
      <c r="G35" s="521">
        <f>F35*$G$7</f>
        <v>20250</v>
      </c>
      <c r="I35" s="525">
        <v>0.5</v>
      </c>
      <c r="J35" s="526"/>
      <c r="K35" s="7" t="s">
        <v>0</v>
      </c>
      <c r="Q35" s="2" t="s">
        <v>0</v>
      </c>
      <c r="V35" s="4" t="s">
        <v>0</v>
      </c>
    </row>
    <row r="36" spans="2:21" ht="15">
      <c r="B36" s="7" t="s">
        <v>565</v>
      </c>
      <c r="C36" s="7" t="s">
        <v>14</v>
      </c>
      <c r="D36" s="528">
        <v>40.5</v>
      </c>
      <c r="E36" s="516">
        <v>15</v>
      </c>
      <c r="F36" s="144">
        <f>ROUND((D36*E36),2)</f>
        <v>607.5</v>
      </c>
      <c r="G36" s="521">
        <f>F36*$G$7</f>
        <v>12150</v>
      </c>
      <c r="I36" s="525">
        <v>0.3</v>
      </c>
      <c r="J36" s="526"/>
      <c r="P36" s="2" t="s">
        <v>0</v>
      </c>
      <c r="U36" s="4" t="s">
        <v>0</v>
      </c>
    </row>
    <row r="37" spans="2:21" ht="15">
      <c r="B37" s="123" t="s">
        <v>1024</v>
      </c>
      <c r="C37" s="9" t="s">
        <v>13</v>
      </c>
      <c r="D37" s="528">
        <v>1</v>
      </c>
      <c r="E37" s="144">
        <f>F89</f>
        <v>141.72</v>
      </c>
      <c r="F37" s="144">
        <f>ROUND((D37*E37),2)</f>
        <v>141.72</v>
      </c>
      <c r="G37" s="521">
        <f>F37*$G$7</f>
        <v>2834.4</v>
      </c>
      <c r="I37" s="2" t="s">
        <v>0</v>
      </c>
      <c r="P37" s="2" t="s">
        <v>0</v>
      </c>
      <c r="U37" s="10" t="s">
        <v>0</v>
      </c>
    </row>
    <row r="38" spans="2:22" ht="15">
      <c r="B38" s="123" t="s">
        <v>1025</v>
      </c>
      <c r="C38" s="9" t="s">
        <v>15</v>
      </c>
      <c r="D38" s="530">
        <f>(SUM(F19:F37))*6/12</f>
        <v>3452.9500000000003</v>
      </c>
      <c r="E38" s="148">
        <v>0.07</v>
      </c>
      <c r="F38" s="144">
        <f>ROUND((D38*E38),2)</f>
        <v>241.71</v>
      </c>
      <c r="G38" s="521">
        <f>F38*$G$7</f>
        <v>4834.2</v>
      </c>
      <c r="I38" s="25"/>
      <c r="J38" s="2" t="s">
        <v>0</v>
      </c>
      <c r="Q38" s="2" t="s">
        <v>0</v>
      </c>
      <c r="V38" s="10" t="s">
        <v>0</v>
      </c>
    </row>
    <row r="39" spans="4:17" ht="15" customHeight="1" thickBot="1">
      <c r="D39" s="142"/>
      <c r="E39" s="143"/>
      <c r="F39" s="361"/>
      <c r="G39" s="524"/>
      <c r="I39" s="3"/>
      <c r="J39" s="2" t="s">
        <v>0</v>
      </c>
      <c r="Q39" s="2" t="s">
        <v>0</v>
      </c>
    </row>
    <row r="40" spans="1:22" ht="19.5" customHeight="1" thickTop="1">
      <c r="A40" s="7" t="s">
        <v>16</v>
      </c>
      <c r="D40" s="142"/>
      <c r="E40" s="143"/>
      <c r="F40" s="149">
        <f>SUM(F18:F38)</f>
        <v>9647.609999999999</v>
      </c>
      <c r="G40" s="362">
        <f>IF(SUM(G18:G38)=0,0,SUM(G18:G38))</f>
        <v>192952.2</v>
      </c>
      <c r="J40" s="2" t="s">
        <v>0</v>
      </c>
      <c r="K40" s="7" t="s">
        <v>0</v>
      </c>
      <c r="Q40" s="2" t="s">
        <v>0</v>
      </c>
      <c r="V40" s="10" t="s">
        <v>0</v>
      </c>
    </row>
    <row r="41" spans="4:7" ht="15" thickBot="1">
      <c r="D41" s="142"/>
      <c r="E41" s="143"/>
      <c r="F41" s="142"/>
      <c r="G41" s="8"/>
    </row>
    <row r="42" spans="1:17" ht="18.75" customHeight="1" thickBot="1" thickTop="1">
      <c r="A42" s="17" t="s">
        <v>247</v>
      </c>
      <c r="B42" s="18"/>
      <c r="C42" s="18"/>
      <c r="D42" s="150"/>
      <c r="E42" s="151"/>
      <c r="F42" s="151">
        <f>F15-F40</f>
        <v>-9647.609999999999</v>
      </c>
      <c r="G42" s="363">
        <f>IF(G15-G40=0,0,G15-G40)</f>
        <v>-192952.2</v>
      </c>
      <c r="J42" s="2" t="s">
        <v>0</v>
      </c>
      <c r="Q42" s="2" t="s">
        <v>0</v>
      </c>
    </row>
    <row r="43" spans="4:17" ht="15" thickTop="1">
      <c r="D43" s="142"/>
      <c r="E43" s="143"/>
      <c r="F43" s="142"/>
      <c r="G43" s="8"/>
      <c r="J43" s="2" t="s">
        <v>0</v>
      </c>
      <c r="K43" s="7" t="s">
        <v>0</v>
      </c>
      <c r="Q43" s="2" t="s">
        <v>0</v>
      </c>
    </row>
    <row r="44" spans="1:17" ht="15">
      <c r="A44" s="6" t="s">
        <v>17</v>
      </c>
      <c r="C44" s="9" t="s">
        <v>0</v>
      </c>
      <c r="D44" s="142" t="s">
        <v>0</v>
      </c>
      <c r="E44" s="143" t="s">
        <v>0</v>
      </c>
      <c r="F44" s="142" t="s">
        <v>0</v>
      </c>
      <c r="G44" s="8"/>
      <c r="J44" s="2"/>
      <c r="Q44" s="2" t="s">
        <v>0</v>
      </c>
    </row>
    <row r="45" spans="2:17" ht="16.5" customHeight="1">
      <c r="B45" s="7" t="s">
        <v>18</v>
      </c>
      <c r="C45" s="9" t="s">
        <v>13</v>
      </c>
      <c r="D45" s="183">
        <v>1</v>
      </c>
      <c r="E45" s="143">
        <f>G89</f>
        <v>154.04999999999998</v>
      </c>
      <c r="F45" s="144">
        <f>ROUND((D45*E45),2)</f>
        <v>154.05</v>
      </c>
      <c r="G45" s="521">
        <f>F45*$G$7</f>
        <v>3081</v>
      </c>
      <c r="J45" s="2"/>
      <c r="K45" s="7" t="s">
        <v>0</v>
      </c>
      <c r="Q45" s="2" t="s">
        <v>0</v>
      </c>
    </row>
    <row r="46" spans="2:17" ht="16.5" customHeight="1">
      <c r="B46" s="7" t="s">
        <v>250</v>
      </c>
      <c r="C46" s="9" t="s">
        <v>13</v>
      </c>
      <c r="D46" s="183">
        <v>1</v>
      </c>
      <c r="E46" s="295">
        <v>300</v>
      </c>
      <c r="F46" s="144">
        <f>ROUND((D46*E46),2)</f>
        <v>300</v>
      </c>
      <c r="G46" s="521">
        <f>F46*$G$7</f>
        <v>6000</v>
      </c>
      <c r="J46" s="2"/>
      <c r="K46" s="7"/>
      <c r="Q46" s="2"/>
    </row>
    <row r="47" spans="2:17" ht="16.5" customHeight="1">
      <c r="B47" s="7" t="s">
        <v>251</v>
      </c>
      <c r="C47" s="9" t="s">
        <v>13</v>
      </c>
      <c r="D47" s="183">
        <v>1</v>
      </c>
      <c r="E47" s="295">
        <v>50</v>
      </c>
      <c r="F47" s="144">
        <f>ROUND((D47*E47),2)</f>
        <v>50</v>
      </c>
      <c r="G47" s="521">
        <f>F47*$G$7</f>
        <v>1000</v>
      </c>
      <c r="J47" s="2"/>
      <c r="K47" s="7"/>
      <c r="Q47" s="2"/>
    </row>
    <row r="48" spans="2:17" ht="15" thickBot="1">
      <c r="B48" s="123" t="s">
        <v>1030</v>
      </c>
      <c r="C48" s="124" t="s">
        <v>13</v>
      </c>
      <c r="D48" s="183">
        <v>1</v>
      </c>
      <c r="E48" s="516">
        <v>70</v>
      </c>
      <c r="F48" s="144">
        <f>E48*D48</f>
        <v>70</v>
      </c>
      <c r="G48" s="521">
        <f>F48*$G$7</f>
        <v>1400</v>
      </c>
      <c r="I48" s="3"/>
      <c r="J48" s="2"/>
      <c r="Q48" s="2" t="s">
        <v>0</v>
      </c>
    </row>
    <row r="49" spans="1:22" ht="18.75" customHeight="1" thickTop="1">
      <c r="A49" s="7" t="s">
        <v>19</v>
      </c>
      <c r="D49" s="142"/>
      <c r="E49" s="143"/>
      <c r="F49" s="145">
        <f>SUM(F45:F48)</f>
        <v>574.05</v>
      </c>
      <c r="G49" s="362">
        <f>IF(SUM(G45:G48)=0,0,SUM(G45:G48))</f>
        <v>11481</v>
      </c>
      <c r="J49" s="2"/>
      <c r="K49" s="7" t="s">
        <v>0</v>
      </c>
      <c r="Q49" s="2" t="s">
        <v>0</v>
      </c>
      <c r="V49" s="10" t="s">
        <v>0</v>
      </c>
    </row>
    <row r="50" spans="4:17" ht="15">
      <c r="D50" s="142"/>
      <c r="E50" s="143"/>
      <c r="F50" s="142" t="s">
        <v>0</v>
      </c>
      <c r="G50" s="8"/>
      <c r="J50" s="2" t="s">
        <v>0</v>
      </c>
      <c r="Q50" s="2" t="s">
        <v>0</v>
      </c>
    </row>
    <row r="51" spans="1:17" ht="15">
      <c r="A51" s="6" t="s">
        <v>20</v>
      </c>
      <c r="D51" s="142"/>
      <c r="E51" s="143"/>
      <c r="F51" s="142"/>
      <c r="G51" s="8"/>
      <c r="J51" s="2" t="s">
        <v>0</v>
      </c>
      <c r="Q51" s="2" t="s">
        <v>0</v>
      </c>
    </row>
    <row r="52" spans="2:22" ht="15">
      <c r="B52" s="7" t="s">
        <v>21</v>
      </c>
      <c r="C52" s="9" t="s">
        <v>13</v>
      </c>
      <c r="D52" s="183">
        <v>1</v>
      </c>
      <c r="E52" s="516">
        <v>100</v>
      </c>
      <c r="F52" s="144">
        <f>ROUND((D52*E52),2)</f>
        <v>100</v>
      </c>
      <c r="G52" s="521">
        <f>F52*$G$7</f>
        <v>2000</v>
      </c>
      <c r="J52" s="2" t="s">
        <v>0</v>
      </c>
      <c r="Q52" s="2" t="s">
        <v>0</v>
      </c>
      <c r="V52" s="10" t="s">
        <v>0</v>
      </c>
    </row>
    <row r="53" spans="2:22" ht="15">
      <c r="B53" s="7" t="s">
        <v>22</v>
      </c>
      <c r="C53" s="9" t="s">
        <v>15</v>
      </c>
      <c r="D53" s="144">
        <f>(F40)</f>
        <v>9647.609999999999</v>
      </c>
      <c r="E53" s="148">
        <f>Rates!$E$18/100</f>
        <v>0.07</v>
      </c>
      <c r="F53" s="144">
        <f>ROUND((D53*E53),2)</f>
        <v>675.33</v>
      </c>
      <c r="G53" s="521">
        <f>F53*$G$7</f>
        <v>13506.6</v>
      </c>
      <c r="J53" s="2" t="s">
        <v>0</v>
      </c>
      <c r="Q53" s="2" t="s">
        <v>0</v>
      </c>
      <c r="V53" s="10" t="s">
        <v>0</v>
      </c>
    </row>
    <row r="54" spans="3:17" ht="15" thickBot="1">
      <c r="C54" s="9" t="s">
        <v>0</v>
      </c>
      <c r="D54" s="142" t="s">
        <v>0</v>
      </c>
      <c r="E54" s="143"/>
      <c r="F54" s="152"/>
      <c r="G54" s="16"/>
      <c r="I54" s="3"/>
      <c r="J54" s="2" t="s">
        <v>0</v>
      </c>
      <c r="Q54" s="2" t="s">
        <v>0</v>
      </c>
    </row>
    <row r="55" spans="1:22" ht="18.75" customHeight="1" thickTop="1">
      <c r="A55" s="7" t="s">
        <v>23</v>
      </c>
      <c r="D55" s="142"/>
      <c r="E55" s="143"/>
      <c r="F55" s="149">
        <f>SUM(F52:F53)</f>
        <v>775.33</v>
      </c>
      <c r="G55" s="362">
        <f>IF(SUM(G52:G53)=0,0,SUM(G52:G53))</f>
        <v>15506.6</v>
      </c>
      <c r="J55" s="2" t="s">
        <v>0</v>
      </c>
      <c r="Q55" s="2" t="s">
        <v>0</v>
      </c>
      <c r="V55" s="10" t="s">
        <v>0</v>
      </c>
    </row>
    <row r="56" spans="4:22" ht="15">
      <c r="D56" s="142"/>
      <c r="E56" s="143"/>
      <c r="F56" s="142"/>
      <c r="G56" s="8"/>
      <c r="J56" s="2" t="s">
        <v>0</v>
      </c>
      <c r="K56" s="7" t="s">
        <v>0</v>
      </c>
      <c r="Q56" s="2" t="s">
        <v>0</v>
      </c>
      <c r="V56" s="10" t="s">
        <v>0</v>
      </c>
    </row>
    <row r="57" spans="1:22" ht="15">
      <c r="A57" s="116" t="s">
        <v>24</v>
      </c>
      <c r="B57" s="19"/>
      <c r="C57" s="19"/>
      <c r="D57" s="153"/>
      <c r="E57" s="154"/>
      <c r="F57" s="155">
        <f>F40+F49+F55</f>
        <v>10996.989999999998</v>
      </c>
      <c r="G57" s="364">
        <f>IF(SUM(G40,G49,G55)=0,0,SUM(G40,G49,G55))</f>
        <v>219939.80000000002</v>
      </c>
      <c r="J57" s="2" t="s">
        <v>0</v>
      </c>
      <c r="K57" s="7" t="s">
        <v>0</v>
      </c>
      <c r="Q57" s="2" t="s">
        <v>0</v>
      </c>
      <c r="V57" s="10" t="s">
        <v>0</v>
      </c>
    </row>
    <row r="58" spans="4:17" ht="15" thickBot="1">
      <c r="D58" s="142"/>
      <c r="E58" s="143"/>
      <c r="F58" s="144"/>
      <c r="G58" s="8"/>
      <c r="J58" s="2" t="s">
        <v>0</v>
      </c>
      <c r="Q58" s="2" t="s">
        <v>0</v>
      </c>
    </row>
    <row r="59" spans="1:10" ht="15.75" thickBot="1" thickTop="1">
      <c r="A59" s="495" t="s">
        <v>956</v>
      </c>
      <c r="B59" s="18"/>
      <c r="C59" s="18"/>
      <c r="D59" s="150"/>
      <c r="E59" s="151"/>
      <c r="F59" s="151">
        <f>F15-F57</f>
        <v>-10996.989999999998</v>
      </c>
      <c r="G59" s="363">
        <f>IF(G15-G57=0,0,G15-G57)</f>
        <v>-219939.80000000002</v>
      </c>
      <c r="J59" s="11" t="s">
        <v>0</v>
      </c>
    </row>
    <row r="60" spans="10:22" ht="15.75" thickBot="1" thickTop="1">
      <c r="J60" s="2" t="s">
        <v>0</v>
      </c>
      <c r="Q60" s="2" t="s">
        <v>0</v>
      </c>
      <c r="V60" s="10" t="s">
        <v>0</v>
      </c>
    </row>
    <row r="61" spans="1:7" ht="15">
      <c r="A61" s="21"/>
      <c r="B61" s="22"/>
      <c r="C61" s="22"/>
      <c r="D61" s="22"/>
      <c r="E61" s="112"/>
      <c r="F61" s="22"/>
      <c r="G61" s="23"/>
    </row>
    <row r="62" spans="1:7" ht="15">
      <c r="A62" s="24" t="s">
        <v>525</v>
      </c>
      <c r="B62" s="25"/>
      <c r="C62" s="26"/>
      <c r="D62" s="198"/>
      <c r="E62" s="199" t="s">
        <v>526</v>
      </c>
      <c r="F62" s="25"/>
      <c r="G62" s="27"/>
    </row>
    <row r="63" spans="1:7" ht="15">
      <c r="A63" s="28" t="s">
        <v>25</v>
      </c>
      <c r="B63" s="25"/>
      <c r="C63" s="29">
        <f>($F$40-$F$27-$F$29-$F$30)/($E$12-$E$27-$E$29-$E$30)</f>
        <v>-150.60513143501174</v>
      </c>
      <c r="D63" s="30" t="str">
        <f>$C$12</f>
        <v>LBS</v>
      </c>
      <c r="E63" s="193" t="s">
        <v>364</v>
      </c>
      <c r="F63" s="25"/>
      <c r="G63" s="31">
        <f>($F$40/$D$12)</f>
        <v>6.43174</v>
      </c>
    </row>
    <row r="64" spans="1:7" ht="15">
      <c r="A64" s="28" t="s">
        <v>26</v>
      </c>
      <c r="B64" s="25"/>
      <c r="C64" s="29">
        <f>(($F$57-$F$27-$F$29-$F$30-$F$53)+(($F$40-$F$27-$F$29-$F$30)*$E$53))/($E$12-$E$27-$E$29-$E$30-($E$27*$E$53)-($E$29*$E$53)-($E$30*$E$53))</f>
        <v>-161.0462305006801</v>
      </c>
      <c r="D64" s="30" t="str">
        <f>$C$12</f>
        <v>LBS</v>
      </c>
      <c r="E64" s="193" t="s">
        <v>365</v>
      </c>
      <c r="F64" s="25"/>
      <c r="G64" s="31">
        <f>($F$57/$D$12)</f>
        <v>7.331326666666666</v>
      </c>
    </row>
    <row r="65" spans="1:7" ht="15" thickBot="1">
      <c r="A65" s="32"/>
      <c r="B65" s="33"/>
      <c r="C65" s="34"/>
      <c r="D65" s="34"/>
      <c r="E65" s="113"/>
      <c r="F65" s="33"/>
      <c r="G65" s="35"/>
    </row>
    <row r="66" spans="1:22" ht="15">
      <c r="A66" s="63" t="s">
        <v>958</v>
      </c>
      <c r="J66" s="2" t="s">
        <v>0</v>
      </c>
      <c r="K66" s="7" t="s">
        <v>0</v>
      </c>
      <c r="Q66" s="2" t="s">
        <v>0</v>
      </c>
      <c r="V66" s="10" t="s">
        <v>0</v>
      </c>
    </row>
    <row r="67" spans="1:22" ht="15">
      <c r="A67" s="63" t="s">
        <v>363</v>
      </c>
      <c r="J67" s="2" t="s">
        <v>0</v>
      </c>
      <c r="Q67" s="2" t="s">
        <v>0</v>
      </c>
      <c r="V67" s="10" t="s">
        <v>0</v>
      </c>
    </row>
    <row r="68" spans="1:22" s="122" customFormat="1" ht="15">
      <c r="A68" s="63" t="s">
        <v>362</v>
      </c>
      <c r="E68" s="192"/>
      <c r="J68" s="125"/>
      <c r="Q68" s="125"/>
      <c r="V68" s="126"/>
    </row>
    <row r="69" spans="1:22" ht="15" thickBot="1">
      <c r="A69" s="63" t="s">
        <v>533</v>
      </c>
      <c r="J69" s="2"/>
      <c r="Q69" s="2"/>
      <c r="V69" s="10"/>
    </row>
    <row r="70" spans="1:17" ht="15" thickBot="1">
      <c r="A70" s="135" t="s">
        <v>1010</v>
      </c>
      <c r="B70" s="136"/>
      <c r="C70" s="136"/>
      <c r="D70" s="136"/>
      <c r="E70" s="137"/>
      <c r="J70" s="2" t="s">
        <v>0</v>
      </c>
      <c r="Q70" s="2" t="s">
        <v>0</v>
      </c>
    </row>
    <row r="71" spans="1:22" ht="15" thickBot="1">
      <c r="A71" s="45"/>
      <c r="B71" s="46" t="s">
        <v>276</v>
      </c>
      <c r="C71" s="47"/>
      <c r="D71" s="47"/>
      <c r="E71" s="114"/>
      <c r="F71" s="47"/>
      <c r="G71" s="48"/>
      <c r="I71" s="3"/>
      <c r="J71" s="2" t="s">
        <v>0</v>
      </c>
      <c r="L71" s="9" t="s">
        <v>0</v>
      </c>
      <c r="Q71" s="2" t="s">
        <v>0</v>
      </c>
      <c r="V71" s="10" t="s">
        <v>0</v>
      </c>
    </row>
    <row r="72" spans="1:22" ht="15" thickBot="1">
      <c r="A72" s="39" t="s">
        <v>37</v>
      </c>
      <c r="B72" s="26" t="s">
        <v>264</v>
      </c>
      <c r="C72" s="156" t="s">
        <v>27</v>
      </c>
      <c r="D72" s="156" t="s">
        <v>28</v>
      </c>
      <c r="E72" s="157" t="s">
        <v>29</v>
      </c>
      <c r="F72" s="156" t="s">
        <v>30</v>
      </c>
      <c r="G72" s="158" t="s">
        <v>31</v>
      </c>
      <c r="I72" s="3"/>
      <c r="J72" s="2" t="s">
        <v>0</v>
      </c>
      <c r="L72" s="9" t="s">
        <v>0</v>
      </c>
      <c r="Q72" s="2" t="s">
        <v>0</v>
      </c>
      <c r="V72" s="10" t="s">
        <v>0</v>
      </c>
    </row>
    <row r="73" spans="1:22" s="122" customFormat="1" ht="15">
      <c r="A73" s="128"/>
      <c r="B73" s="129"/>
      <c r="C73" s="159" t="s">
        <v>32</v>
      </c>
      <c r="D73" s="159" t="s">
        <v>33</v>
      </c>
      <c r="E73" s="160" t="s">
        <v>33</v>
      </c>
      <c r="F73" s="159" t="s">
        <v>34</v>
      </c>
      <c r="G73" s="161" t="s">
        <v>34</v>
      </c>
      <c r="I73" s="340" t="s">
        <v>35</v>
      </c>
      <c r="J73" s="125"/>
      <c r="L73" s="124" t="s">
        <v>0</v>
      </c>
      <c r="Q73" s="125" t="s">
        <v>0</v>
      </c>
      <c r="V73" s="126" t="s">
        <v>0</v>
      </c>
    </row>
    <row r="74" spans="1:22" ht="15" thickBot="1">
      <c r="A74" s="42"/>
      <c r="B74" s="25"/>
      <c r="C74" s="156"/>
      <c r="D74" s="156"/>
      <c r="E74" s="157"/>
      <c r="F74" s="156"/>
      <c r="G74" s="158"/>
      <c r="I74" s="337" t="s">
        <v>36</v>
      </c>
      <c r="J74" s="8"/>
      <c r="Q74" s="2"/>
      <c r="V74" s="10" t="s">
        <v>0</v>
      </c>
    </row>
    <row r="75" spans="1:22" ht="15.75" customHeight="1">
      <c r="A75" s="184">
        <v>3</v>
      </c>
      <c r="B75" s="26" t="str">
        <f>VLOOKUP(I75,Mach_Cost,2)</f>
        <v>HEAVY DISK 20'</v>
      </c>
      <c r="C75" s="185">
        <v>2</v>
      </c>
      <c r="D75" s="162">
        <f>ROUND(E75*Rates!$E$15,2)</f>
        <v>0.22</v>
      </c>
      <c r="E75" s="163">
        <f>VLOOKUP(I75,Mach_Cost,7)*C75</f>
        <v>0.2</v>
      </c>
      <c r="F75" s="164">
        <f>VLOOKUP(I75,Mach_Cost,11)*C75</f>
        <v>6.34</v>
      </c>
      <c r="G75" s="165">
        <f>VLOOKUP(I75,Mach_Cost,12)*C75</f>
        <v>7.5</v>
      </c>
      <c r="H75" s="3"/>
      <c r="I75" s="393">
        <v>46.1</v>
      </c>
      <c r="J75" s="3"/>
      <c r="P75" s="12"/>
      <c r="V75" s="10" t="s">
        <v>0</v>
      </c>
    </row>
    <row r="76" spans="1:22" ht="15">
      <c r="A76" s="184">
        <v>3</v>
      </c>
      <c r="B76" s="26" t="str">
        <f>VLOOKUP(I76,Mach_Cost,2)</f>
        <v>DO-ALL FIELD CONDITIONER 8-ROW</v>
      </c>
      <c r="C76" s="185">
        <v>1</v>
      </c>
      <c r="D76" s="162">
        <f>ROUND(E76*Rates!$E$15,2)</f>
        <v>0.1</v>
      </c>
      <c r="E76" s="163">
        <f>VLOOKUP(I76,Mach_Cost,7)*C76</f>
        <v>0.09</v>
      </c>
      <c r="F76" s="164">
        <f>VLOOKUP(I76,Mach_Cost,11)*C76</f>
        <v>2.17</v>
      </c>
      <c r="G76" s="165">
        <f>VLOOKUP(I76,Mach_Cost,12)*C76</f>
        <v>1.8</v>
      </c>
      <c r="H76" s="3"/>
      <c r="I76" s="393">
        <v>123</v>
      </c>
      <c r="J76" s="3"/>
      <c r="P76" s="12"/>
      <c r="V76" s="10" t="s">
        <v>0</v>
      </c>
    </row>
    <row r="77" spans="1:16" ht="15">
      <c r="A77" s="184">
        <v>3</v>
      </c>
      <c r="B77" s="26" t="str">
        <f>VLOOKUP(I77,Mach_Cost,2)</f>
        <v>TOBACCO BEDDER 4-ROW</v>
      </c>
      <c r="C77" s="185">
        <v>1</v>
      </c>
      <c r="D77" s="162">
        <f>ROUND(E77*Rates!$E$15,2)</f>
        <v>0.18</v>
      </c>
      <c r="E77" s="163">
        <f>VLOOKUP(I77,Mach_Cost,7)*C77</f>
        <v>0.16</v>
      </c>
      <c r="F77" s="164">
        <f>VLOOKUP(I77,Mach_Cost,11)*C77</f>
        <v>1.6</v>
      </c>
      <c r="G77" s="165">
        <f>VLOOKUP(I77,Mach_Cost,12)*C77</f>
        <v>1.59</v>
      </c>
      <c r="H77" s="3"/>
      <c r="I77" s="393">
        <v>99.1</v>
      </c>
      <c r="J77" s="3"/>
      <c r="P77" s="12"/>
    </row>
    <row r="78" spans="1:16" ht="15" thickBot="1">
      <c r="A78" s="184">
        <v>4</v>
      </c>
      <c r="B78" s="26" t="str">
        <f aca="true" t="shared" si="1" ref="B78:B84">VLOOKUP(I78,Mach_Cost,2)</f>
        <v>TOBACCO TRANSPLANTER 2-ROW</v>
      </c>
      <c r="C78" s="185">
        <v>1</v>
      </c>
      <c r="D78" s="162">
        <f>ROUND(E78*Rates!$E$15,2)</f>
        <v>1.69</v>
      </c>
      <c r="E78" s="163">
        <f aca="true" t="shared" si="2" ref="E78:E84">VLOOKUP(I78,Mach_Cost,7)*C78</f>
        <v>1.54</v>
      </c>
      <c r="F78" s="164">
        <f>VLOOKUP(I78,Mach_Cost,11)*C78</f>
        <v>29.85</v>
      </c>
      <c r="G78" s="165">
        <f>VLOOKUP(I78,Mach_Cost,12)*C78</f>
        <v>21.81</v>
      </c>
      <c r="H78" s="3"/>
      <c r="I78" s="393">
        <v>104</v>
      </c>
      <c r="J78" s="3"/>
      <c r="P78" s="12"/>
    </row>
    <row r="79" spans="1:22" ht="15" thickBot="1">
      <c r="A79" s="184">
        <v>4</v>
      </c>
      <c r="B79" s="26" t="str">
        <f t="shared" si="1"/>
        <v>CULTIVATOR 2-ROW</v>
      </c>
      <c r="C79" s="185">
        <v>1</v>
      </c>
      <c r="D79" s="162">
        <f>ROUND(E79*Rates!$E$15,2)</f>
        <v>0.62</v>
      </c>
      <c r="E79" s="163">
        <f t="shared" si="2"/>
        <v>0.56</v>
      </c>
      <c r="F79" s="164">
        <f aca="true" t="shared" si="3" ref="F79:F84">VLOOKUP(I79,Mach_Cost,11)*C79</f>
        <v>4.37</v>
      </c>
      <c r="G79" s="165">
        <f aca="true" t="shared" si="4" ref="G79:G84">VLOOKUP(I79,Mach_Cost,12)*C79</f>
        <v>4.18</v>
      </c>
      <c r="I79" s="393">
        <v>27</v>
      </c>
      <c r="J79" s="3"/>
      <c r="K79" s="353" t="s">
        <v>941</v>
      </c>
      <c r="L79" s="208"/>
      <c r="M79" s="354"/>
      <c r="N79" s="355"/>
      <c r="O79" s="356"/>
      <c r="P79" s="357"/>
      <c r="Q79" s="2"/>
      <c r="V79" s="10" t="s">
        <v>0</v>
      </c>
    </row>
    <row r="80" spans="1:22" ht="15" thickBot="1">
      <c r="A80" s="184"/>
      <c r="B80" s="26"/>
      <c r="C80" s="185"/>
      <c r="D80" s="162"/>
      <c r="E80" s="163"/>
      <c r="F80" s="164"/>
      <c r="G80" s="165"/>
      <c r="I80" s="393"/>
      <c r="J80" s="3"/>
      <c r="K80" s="477" t="s">
        <v>41</v>
      </c>
      <c r="L80" s="532" t="s">
        <v>942</v>
      </c>
      <c r="M80" s="532"/>
      <c r="N80" s="532"/>
      <c r="O80" s="532"/>
      <c r="P80" s="533"/>
      <c r="Q80" s="2"/>
      <c r="V80" s="10" t="s">
        <v>0</v>
      </c>
    </row>
    <row r="81" spans="1:22" ht="15.75" customHeight="1">
      <c r="A81" s="184"/>
      <c r="B81" s="26"/>
      <c r="C81" s="185"/>
      <c r="D81" s="162"/>
      <c r="E81" s="163"/>
      <c r="F81" s="164"/>
      <c r="G81" s="165"/>
      <c r="H81" s="3"/>
      <c r="I81" s="393"/>
      <c r="J81" s="3"/>
      <c r="K81" s="474" t="s">
        <v>245</v>
      </c>
      <c r="L81" s="460">
        <f>$B$97</f>
        <v>-0.15</v>
      </c>
      <c r="M81" s="461">
        <f>$D$97</f>
        <v>-0.05</v>
      </c>
      <c r="N81" s="461">
        <f>$E$97</f>
        <v>0</v>
      </c>
      <c r="O81" s="461">
        <f>$F$97</f>
        <v>0.05</v>
      </c>
      <c r="P81" s="462">
        <f>$G$97</f>
        <v>0.15</v>
      </c>
      <c r="V81" s="10" t="s">
        <v>0</v>
      </c>
    </row>
    <row r="82" spans="1:22" ht="15">
      <c r="A82" s="184"/>
      <c r="B82" s="26"/>
      <c r="C82" s="185"/>
      <c r="D82" s="162"/>
      <c r="E82" s="163"/>
      <c r="F82" s="164"/>
      <c r="G82" s="165"/>
      <c r="H82" s="3"/>
      <c r="I82" s="393"/>
      <c r="J82" s="3"/>
      <c r="K82" s="479">
        <f>$A$99</f>
        <v>1100</v>
      </c>
      <c r="L82" s="480">
        <f>B99</f>
        <v>-75619.01</v>
      </c>
      <c r="M82" s="463">
        <f>D99</f>
        <v>-75509.01</v>
      </c>
      <c r="N82" s="463">
        <f>E99</f>
        <v>-75454.01</v>
      </c>
      <c r="O82" s="463">
        <f>F99</f>
        <v>-75399.01</v>
      </c>
      <c r="P82" s="464">
        <f>G99</f>
        <v>-75289.01</v>
      </c>
      <c r="V82" s="10" t="s">
        <v>0</v>
      </c>
    </row>
    <row r="83" spans="1:16" ht="15">
      <c r="A83" s="184" t="s">
        <v>259</v>
      </c>
      <c r="B83" s="26" t="str">
        <f>VLOOKUP(I83,Mach_Cost,2)</f>
        <v>TOBACCO TRAILER</v>
      </c>
      <c r="C83" s="185">
        <v>5</v>
      </c>
      <c r="D83" s="162">
        <f>ROUND(E83*Rates!$E$15,2)</f>
        <v>14.19</v>
      </c>
      <c r="E83" s="163">
        <f t="shared" si="2"/>
        <v>12.9</v>
      </c>
      <c r="F83" s="164">
        <f t="shared" si="3"/>
        <v>39.449999999999996</v>
      </c>
      <c r="G83" s="165">
        <f t="shared" si="4"/>
        <v>52.35</v>
      </c>
      <c r="H83" s="3"/>
      <c r="I83" s="393">
        <v>102</v>
      </c>
      <c r="J83" s="3"/>
      <c r="K83" s="479">
        <f>$A$101</f>
        <v>1300</v>
      </c>
      <c r="L83" s="480">
        <f>B101</f>
        <v>-87715.81</v>
      </c>
      <c r="M83" s="463">
        <f>D101</f>
        <v>-87585.81</v>
      </c>
      <c r="N83" s="463">
        <f>E101</f>
        <v>-87520.81</v>
      </c>
      <c r="O83" s="463">
        <f>F101</f>
        <v>-87455.81</v>
      </c>
      <c r="P83" s="464">
        <f>G101</f>
        <v>-87325.81</v>
      </c>
    </row>
    <row r="84" spans="1:16" ht="15">
      <c r="A84" s="184" t="s">
        <v>259</v>
      </c>
      <c r="B84" s="26" t="str">
        <f t="shared" si="1"/>
        <v>BULK BARN</v>
      </c>
      <c r="C84" s="185">
        <v>4</v>
      </c>
      <c r="D84" s="162">
        <f>ROUND(E84*Rates!$E$15,2)</f>
        <v>3.04</v>
      </c>
      <c r="E84" s="163">
        <f t="shared" si="2"/>
        <v>2.76</v>
      </c>
      <c r="F84" s="164">
        <f t="shared" si="3"/>
        <v>55.52</v>
      </c>
      <c r="G84" s="165">
        <f t="shared" si="4"/>
        <v>62.28</v>
      </c>
      <c r="H84" s="3"/>
      <c r="I84" s="338">
        <v>78</v>
      </c>
      <c r="J84" s="3"/>
      <c r="K84" s="479">
        <f>$A$103</f>
        <v>1500</v>
      </c>
      <c r="L84" s="480">
        <f>B103</f>
        <v>-99812.61</v>
      </c>
      <c r="M84" s="463">
        <f>D103</f>
        <v>-99662.61</v>
      </c>
      <c r="N84" s="463">
        <f>E103</f>
        <v>-99587.61</v>
      </c>
      <c r="O84" s="463">
        <f>F103</f>
        <v>-99512.61</v>
      </c>
      <c r="P84" s="464">
        <f>G103</f>
        <v>-99362.61</v>
      </c>
    </row>
    <row r="85" spans="1:22" ht="15">
      <c r="A85" s="394" t="s">
        <v>863</v>
      </c>
      <c r="B85" s="26" t="str">
        <f>VLOOKUP(I85,Mach_Cost,2)</f>
        <v>ROTARY MOWER 7'</v>
      </c>
      <c r="C85" s="185">
        <v>1</v>
      </c>
      <c r="D85" s="162">
        <f>ROUND(E85*Rates!$E$15,2)</f>
        <v>0.32</v>
      </c>
      <c r="E85" s="163">
        <f>VLOOKUP(I85,Mach_Cost,7)*C85</f>
        <v>0.29</v>
      </c>
      <c r="F85" s="164">
        <f>VLOOKUP(I85,Mach_Cost,11)*C85</f>
        <v>2.42</v>
      </c>
      <c r="G85" s="165">
        <f>VLOOKUP(I85,Mach_Cost,12)*C85</f>
        <v>2.54</v>
      </c>
      <c r="H85" s="3"/>
      <c r="I85" s="338">
        <v>84</v>
      </c>
      <c r="J85" s="3"/>
      <c r="K85" s="481">
        <f>$A$105</f>
        <v>1700</v>
      </c>
      <c r="L85" s="480">
        <f>B105</f>
        <v>-111909.41</v>
      </c>
      <c r="M85" s="463">
        <f>D105</f>
        <v>-111739.41</v>
      </c>
      <c r="N85" s="463">
        <f>E105</f>
        <v>-111654.41</v>
      </c>
      <c r="O85" s="463">
        <f>F105</f>
        <v>-111569.41</v>
      </c>
      <c r="P85" s="464">
        <f>G105</f>
        <v>-111399.41</v>
      </c>
      <c r="V85" s="10" t="s">
        <v>0</v>
      </c>
    </row>
    <row r="86" spans="1:22" ht="15">
      <c r="A86" s="184"/>
      <c r="B86" s="26"/>
      <c r="C86" s="185"/>
      <c r="D86" s="162"/>
      <c r="E86" s="163"/>
      <c r="F86" s="164"/>
      <c r="G86" s="165"/>
      <c r="H86" s="3"/>
      <c r="I86" s="338"/>
      <c r="J86" s="3"/>
      <c r="K86" s="481">
        <f>$A$107</f>
        <v>1900</v>
      </c>
      <c r="L86" s="480">
        <f>B107</f>
        <v>-124006.20999999999</v>
      </c>
      <c r="M86" s="463">
        <f>D107</f>
        <v>-123816.20999999999</v>
      </c>
      <c r="N86" s="463">
        <f>E107</f>
        <v>-123721.20999999999</v>
      </c>
      <c r="O86" s="463">
        <f>F107</f>
        <v>-123626.20999999999</v>
      </c>
      <c r="P86" s="464">
        <f>G107</f>
        <v>-123436.20999999999</v>
      </c>
      <c r="V86" s="10" t="s">
        <v>0</v>
      </c>
    </row>
    <row r="87" spans="1:16" ht="15.75" thickBot="1">
      <c r="A87" s="37"/>
      <c r="B87" s="25"/>
      <c r="C87" s="166"/>
      <c r="D87" s="166"/>
      <c r="E87" s="167"/>
      <c r="F87" s="166"/>
      <c r="G87" s="168"/>
      <c r="H87" s="3"/>
      <c r="I87" s="341"/>
      <c r="K87" s="476"/>
      <c r="L87" s="472"/>
      <c r="M87" s="472"/>
      <c r="N87" s="472"/>
      <c r="O87" s="472"/>
      <c r="P87" s="473"/>
    </row>
    <row r="88" spans="1:15" ht="15">
      <c r="A88" s="28" t="s">
        <v>38</v>
      </c>
      <c r="B88" s="25"/>
      <c r="C88" s="156" t="s">
        <v>0</v>
      </c>
      <c r="D88" s="162" t="s">
        <v>0</v>
      </c>
      <c r="E88" s="163" t="s">
        <v>0</v>
      </c>
      <c r="F88" s="156" t="s">
        <v>0</v>
      </c>
      <c r="G88" s="158" t="s">
        <v>0</v>
      </c>
      <c r="I88" s="342"/>
      <c r="L88" s="2"/>
      <c r="M88" s="3"/>
      <c r="N88" s="3"/>
      <c r="O88" s="3"/>
    </row>
    <row r="89" spans="1:12" ht="15">
      <c r="A89" s="28" t="s">
        <v>39</v>
      </c>
      <c r="B89" s="25"/>
      <c r="C89" s="156" t="s">
        <v>0</v>
      </c>
      <c r="D89" s="169">
        <f>SUM(D75:D86)</f>
        <v>20.36</v>
      </c>
      <c r="E89" s="169">
        <f>SUM(E75:E86)</f>
        <v>18.5</v>
      </c>
      <c r="F89" s="169">
        <f>SUM(F75:F86)</f>
        <v>141.72</v>
      </c>
      <c r="G89" s="170">
        <f>SUM(G75:G86)</f>
        <v>154.04999999999998</v>
      </c>
      <c r="I89" s="342"/>
      <c r="L89" s="2"/>
    </row>
    <row r="90" spans="1:22" ht="15">
      <c r="A90" s="38"/>
      <c r="B90" s="25"/>
      <c r="C90" s="156"/>
      <c r="D90" s="162"/>
      <c r="E90" s="163"/>
      <c r="F90" s="156"/>
      <c r="G90" s="158"/>
      <c r="I90" s="343" t="s">
        <v>0</v>
      </c>
      <c r="L90" s="11" t="s">
        <v>0</v>
      </c>
      <c r="V90" s="10" t="s">
        <v>0</v>
      </c>
    </row>
    <row r="91" spans="1:22" ht="15">
      <c r="A91" s="28" t="s">
        <v>40</v>
      </c>
      <c r="B91" s="25"/>
      <c r="C91" s="156"/>
      <c r="D91" s="162">
        <v>36.67</v>
      </c>
      <c r="E91" s="163"/>
      <c r="F91" s="156"/>
      <c r="G91" s="158"/>
      <c r="I91" s="344"/>
      <c r="V91" s="10" t="s">
        <v>0</v>
      </c>
    </row>
    <row r="92" spans="1:9" ht="15" thickBot="1">
      <c r="A92" s="44"/>
      <c r="B92" s="33"/>
      <c r="C92" s="171"/>
      <c r="D92" s="171"/>
      <c r="E92" s="172"/>
      <c r="F92" s="171"/>
      <c r="G92" s="173"/>
      <c r="I92" s="345"/>
    </row>
    <row r="93" spans="9:11" ht="15">
      <c r="I93" s="3"/>
      <c r="K93" s="2" t="s">
        <v>0</v>
      </c>
    </row>
    <row r="94" spans="1:17" ht="15" thickBot="1">
      <c r="A94" s="3"/>
      <c r="I94" s="3"/>
      <c r="J94" s="2" t="s">
        <v>0</v>
      </c>
      <c r="Q94" s="2" t="s">
        <v>0</v>
      </c>
    </row>
    <row r="95" spans="1:17" ht="15" thickBot="1">
      <c r="A95" s="52"/>
      <c r="B95" s="53" t="s">
        <v>50</v>
      </c>
      <c r="C95" s="53"/>
      <c r="D95" s="53"/>
      <c r="E95" s="114"/>
      <c r="F95" s="54"/>
      <c r="G95" s="55"/>
      <c r="I95" s="3"/>
      <c r="J95" s="2" t="s">
        <v>0</v>
      </c>
      <c r="K95" s="353" t="s">
        <v>530</v>
      </c>
      <c r="L95" s="208"/>
      <c r="M95" s="53"/>
      <c r="N95" s="114"/>
      <c r="O95" s="54"/>
      <c r="P95" s="55"/>
      <c r="Q95" s="2" t="s">
        <v>0</v>
      </c>
    </row>
    <row r="96" spans="1:17" s="122" customFormat="1" ht="15" thickBot="1">
      <c r="A96" s="130" t="s">
        <v>41</v>
      </c>
      <c r="B96" s="131" t="s">
        <v>366</v>
      </c>
      <c r="D96" s="132"/>
      <c r="E96" s="127"/>
      <c r="F96" s="132"/>
      <c r="G96" s="133"/>
      <c r="H96" s="346" t="s">
        <v>0</v>
      </c>
      <c r="I96" s="3"/>
      <c r="J96" s="125" t="s">
        <v>0</v>
      </c>
      <c r="K96" s="477" t="s">
        <v>939</v>
      </c>
      <c r="L96" s="532" t="s">
        <v>938</v>
      </c>
      <c r="M96" s="532"/>
      <c r="N96" s="532"/>
      <c r="O96" s="532"/>
      <c r="P96" s="533"/>
      <c r="Q96" s="125" t="s">
        <v>0</v>
      </c>
    </row>
    <row r="97" spans="1:17" ht="15">
      <c r="A97" s="56" t="s">
        <v>245</v>
      </c>
      <c r="B97" s="204">
        <f>ROUND(E97-0.15,2)</f>
        <v>-0.15</v>
      </c>
      <c r="C97" s="205"/>
      <c r="D97" s="204">
        <f>ROUND(E97-0.05,2)</f>
        <v>-0.05</v>
      </c>
      <c r="E97" s="204">
        <f>E12</f>
        <v>0</v>
      </c>
      <c r="F97" s="204">
        <f>ROUND(E97+0.05,2)</f>
        <v>0.05</v>
      </c>
      <c r="G97" s="206">
        <f>ROUND(E97+0.15,2)</f>
        <v>0.15</v>
      </c>
      <c r="H97" s="3"/>
      <c r="I97" s="3"/>
      <c r="J97" s="2" t="s">
        <v>0</v>
      </c>
      <c r="K97" s="474" t="s">
        <v>940</v>
      </c>
      <c r="L97" s="460">
        <f>$B$97</f>
        <v>-0.15</v>
      </c>
      <c r="M97" s="461">
        <f>$D$97</f>
        <v>-0.05</v>
      </c>
      <c r="N97" s="461">
        <f>$E$97</f>
        <v>0</v>
      </c>
      <c r="O97" s="461">
        <f>$F$97</f>
        <v>0.05</v>
      </c>
      <c r="P97" s="462">
        <f>$G$97</f>
        <v>0.15</v>
      </c>
      <c r="Q97" s="2" t="s">
        <v>0</v>
      </c>
    </row>
    <row r="98" spans="1:17" ht="15">
      <c r="A98" s="57"/>
      <c r="B98" s="51"/>
      <c r="C98" s="40"/>
      <c r="D98" s="156"/>
      <c r="E98" s="157"/>
      <c r="F98" s="156"/>
      <c r="G98" s="158"/>
      <c r="I98" s="335" t="s">
        <v>0</v>
      </c>
      <c r="J98" s="2" t="s">
        <v>0</v>
      </c>
      <c r="K98" s="475">
        <f>$A$99</f>
        <v>1100</v>
      </c>
      <c r="L98" s="463">
        <f>($A99*L$97)-($F$40-$F$27-$F$29-$F$30)-($A99*$E$27)-($A99*$E$29)-($A99*$E$30)-($F$49)</f>
        <v>-76193.06</v>
      </c>
      <c r="M98" s="463">
        <f>($A99*M$97)-($F$40-$F$27-$F$29-$F$30)-($A99*$E$27)-($A99*$E$29)-($A99*$E$30)-($F$49)</f>
        <v>-76083.06</v>
      </c>
      <c r="N98" s="463">
        <f>($A99*N$97)-($F$40-$F$27-$F$29-$F$30)-($A99*$E$27)-($A99*$E$29)-($A99*$E$30)-($F$49)</f>
        <v>-76028.06</v>
      </c>
      <c r="O98" s="463">
        <f>($A99*O$97)-($F$40-$F$27-$F$29-$F$30)-($A99*$E$27)-($A99*$E$29)-($A99*$E$30)-($F$49)</f>
        <v>-75973.06</v>
      </c>
      <c r="P98" s="464">
        <f>($A99*P$97)-($F$40-$F$27-$F$29-$F$30)-($A99*$E$27)-($A99*$E$29)-($A99*$E$30)-($F$49)</f>
        <v>-75863.06</v>
      </c>
      <c r="Q98" s="2" t="s">
        <v>0</v>
      </c>
    </row>
    <row r="99" spans="1:17" ht="15">
      <c r="A99" s="202">
        <f>ROUND(A103-400,0)</f>
        <v>1100</v>
      </c>
      <c r="B99" s="194">
        <f>($A99*B$97)-($F$40-$F$27-$F$29-$F$30)-($A99*$E$27)-($A99*$E$29)-($A99*$E$30)</f>
        <v>-75619.01</v>
      </c>
      <c r="C99" s="40"/>
      <c r="D99" s="50">
        <f>($A99*D$97)-($F$40-$F$27-$F$29-$F$30)-($A99*$E$27)-($A99*$E$29)-($A99*$E$30)</f>
        <v>-75509.01</v>
      </c>
      <c r="E99" s="50">
        <f>($A99*E$97)-($F$40-$F$27-$F$29-$F$30)-($A99*$E$27)-($A99*$E$29)-($A99*$E$30)</f>
        <v>-75454.01</v>
      </c>
      <c r="F99" s="50">
        <f>($A99*F$97)-($F$40-$F$27-$F$29-$F$30)-($A99*$E$27)-($A99*$E$29)-($A99*$E$30)</f>
        <v>-75399.01</v>
      </c>
      <c r="G99" s="195">
        <f>($A99*G$97)-($F$40-$F$27-$F$29-$F$30)-($A99*$E$27)-($A99*$E$29)-($A99*$E$30)</f>
        <v>-75289.01</v>
      </c>
      <c r="I99" s="3"/>
      <c r="J99" s="2" t="s">
        <v>0</v>
      </c>
      <c r="K99" s="475">
        <f>$A$101</f>
        <v>1300</v>
      </c>
      <c r="L99" s="463">
        <f>($A101*L$97)-($F$40-$F$27-$F$29-$F$30)-($A101*$E$27)-($A101*$E$29)-($A101*$E$30)-($F$49)</f>
        <v>-88289.86</v>
      </c>
      <c r="M99" s="463">
        <f>($A101*M$97)-($F$40-$F$27-$F$29-$F$30)-($A101*$E$27)-($A101*$E$29)-($A101*$E$30)-($F$49)</f>
        <v>-88159.86</v>
      </c>
      <c r="N99" s="463">
        <f>($A101*N$97)-($F$40-$F$27-$F$29-$F$30)-($A101*$E$27)-($A101*$E$29)-($A101*$E$30)-($F$49)</f>
        <v>-88094.86</v>
      </c>
      <c r="O99" s="463">
        <f>($A101*O$97)-($F$40-$F$27-$F$29-$F$30)-($A101*$E$27)-($A101*$E$29)-($A101*$E$30)-($F$49)</f>
        <v>-88029.86</v>
      </c>
      <c r="P99" s="464">
        <f>($A101*P$97)-($F$40-$F$27-$F$29-$F$30)-($A101*$E$27)-($A101*$E$29)-($A101*$E$30)-($F$49)</f>
        <v>-87899.86</v>
      </c>
      <c r="Q99" s="2" t="s">
        <v>0</v>
      </c>
    </row>
    <row r="100" spans="1:17" ht="15">
      <c r="A100" s="202" t="s">
        <v>0</v>
      </c>
      <c r="B100" s="196"/>
      <c r="C100" s="40"/>
      <c r="D100" s="156"/>
      <c r="E100" s="157"/>
      <c r="F100" s="156"/>
      <c r="G100" s="158"/>
      <c r="I100" s="3"/>
      <c r="J100" s="2" t="s">
        <v>0</v>
      </c>
      <c r="K100" s="475">
        <f>$A$103</f>
        <v>1500</v>
      </c>
      <c r="L100" s="463">
        <f>($A103*L$97)-($F$40-$F$27-$F$29-$F$30)-($A103*$E$27)-($A103*$E$29)-($A103*$E$30)-($F$49)</f>
        <v>-100386.66</v>
      </c>
      <c r="M100" s="463">
        <f>($A103*M$97)-($F$40-$F$27-$F$29-$F$30)-($A103*$E$27)-($A103*$E$29)-($A103*$E$30)-($F$49)</f>
        <v>-100236.66</v>
      </c>
      <c r="N100" s="463">
        <f>($A103*N$97)-($F$40-$F$27-$F$29-$F$30)-($A103*$E$27)-($A103*$E$29)-($A103*$E$30)-($F$49)</f>
        <v>-100161.66</v>
      </c>
      <c r="O100" s="463">
        <f>($A103*O$97)-($F$40-$F$27-$F$29-$F$30)-($A103*$E$27)-($A103*$E$29)-($A103*$E$30)-($F$49)</f>
        <v>-100086.66</v>
      </c>
      <c r="P100" s="464">
        <f>($A103*P$97)-($F$40-$F$27-$F$29-$F$30)-($A103*$E$27)-($A103*$E$29)-($A103*$E$30)-($F$49)</f>
        <v>-99936.66</v>
      </c>
      <c r="Q100" s="2" t="s">
        <v>0</v>
      </c>
    </row>
    <row r="101" spans="1:17" ht="15">
      <c r="A101" s="202">
        <f>ROUND(A103-200,0)</f>
        <v>1300</v>
      </c>
      <c r="B101" s="194">
        <f>($A101*B$97)-($F$40-$F$27-$F$29-$F$30)-($A101*$E$27)-($A101*$E$29)-($A101*$E$30)</f>
        <v>-87715.81</v>
      </c>
      <c r="C101" s="40"/>
      <c r="D101" s="50">
        <f>($A101*D$97)-($F$40-$F$27-$F$29-$F$30)-($A101*$E$27)-($A101*$E$29)-($A101*$E$30)</f>
        <v>-87585.81</v>
      </c>
      <c r="E101" s="50">
        <f>($A101*E$97)-($F$40-$F$27-$F$29-$F$30)-($A101*$E$27)-($A101*$E$29)-($A101*$E$30)</f>
        <v>-87520.81</v>
      </c>
      <c r="F101" s="50">
        <f>($A101*F$97)-($F$40-$F$27-$F$29-$F$30)-($A101*$E$27)-($A101*$E$29)-($A101*$E$30)</f>
        <v>-87455.81</v>
      </c>
      <c r="G101" s="195">
        <f>($A101*G$97)-($F$40-$F$27-$F$29-$F$30)-($A101*$E$27)-($A101*$E$29)-($A101*$E$30)</f>
        <v>-87325.81</v>
      </c>
      <c r="I101" s="3"/>
      <c r="J101" s="2" t="s">
        <v>0</v>
      </c>
      <c r="K101" s="475">
        <f>$A$105</f>
        <v>1700</v>
      </c>
      <c r="L101" s="463">
        <f>($A105*L$97)-($F$40-$F$27-$F$29-$F$30)-($A105*$E$27)-($A105*$E$29)-($A105*$E$30)-($F$49)</f>
        <v>-112483.46</v>
      </c>
      <c r="M101" s="463">
        <f>($A105*M$97)-($F$40-$F$27-$F$29-$F$30)-($A105*$E$27)-($A105*$E$29)-($A105*$E$30)-($F$49)</f>
        <v>-112313.46</v>
      </c>
      <c r="N101" s="463">
        <f>($A105*N$97)-($F$40-$F$27-$F$29-$F$30)-($A105*$E$27)-($A105*$E$29)-($A105*$E$30)-($F$49)</f>
        <v>-112228.46</v>
      </c>
      <c r="O101" s="463">
        <f>($A105*O$97)-($F$40-$F$27-$F$29-$F$30)-($A105*$E$27)-($A105*$E$29)-($A105*$E$30)-($F$49)</f>
        <v>-112143.46</v>
      </c>
      <c r="P101" s="464">
        <f>($A105*P$97)-($F$40-$F$27-$F$29-$F$30)-($A105*$E$27)-($A105*$E$29)-($A105*$E$30)-($F$49)</f>
        <v>-111973.46</v>
      </c>
      <c r="Q101" s="2" t="s">
        <v>0</v>
      </c>
    </row>
    <row r="102" spans="1:17" ht="15">
      <c r="A102" s="202" t="s">
        <v>0</v>
      </c>
      <c r="B102" s="196"/>
      <c r="C102" s="40"/>
      <c r="D102" s="156"/>
      <c r="E102" s="157"/>
      <c r="F102" s="156"/>
      <c r="G102" s="158"/>
      <c r="I102" s="335" t="s">
        <v>0</v>
      </c>
      <c r="J102" s="2" t="s">
        <v>0</v>
      </c>
      <c r="K102" s="475">
        <f>$A$107</f>
        <v>1900</v>
      </c>
      <c r="L102" s="463">
        <f>($A107*L$97)-($F$40-$F$27-$F$29-$F$30)-($A107*$E$27)-($A107*$E$29)-($A107*$E$30)-($F$49)</f>
        <v>-124580.26</v>
      </c>
      <c r="M102" s="463">
        <f>($A107*M$97)-($F$40-$F$27-$F$29-$F$30)-($A107*$E$27)-($A107*$E$29)-($A107*$E$30)-($F$49)</f>
        <v>-124390.26</v>
      </c>
      <c r="N102" s="463">
        <f>($A107*N$97)-($F$40-$F$27-$F$29-$F$30)-($A107*$E$27)-($A107*$E$29)-($A107*$E$30)-($F$49)</f>
        <v>-124295.26</v>
      </c>
      <c r="O102" s="463">
        <f>($A107*O$97)-($F$40-$F$27-$F$29-$F$30)-($A107*$E$27)-($A107*$E$29)-($A107*$E$30)-($F$49)</f>
        <v>-124200.26</v>
      </c>
      <c r="P102" s="464">
        <f>($A107*P$97)-($F$40-$F$27-$F$29-$F$30)-($A107*$E$27)-($A107*$E$29)-($A107*$E$30)-($F$49)</f>
        <v>-124010.26</v>
      </c>
      <c r="Q102" s="2" t="s">
        <v>0</v>
      </c>
    </row>
    <row r="103" spans="1:17" ht="15.75" thickBot="1">
      <c r="A103" s="202">
        <f>D12</f>
        <v>1500</v>
      </c>
      <c r="B103" s="194">
        <f>($A103*B$97)-($F$40-$F$27-$F$29-$F$30)-($A103*$E$27)-($A103*$E$29)-($A103*$E$30)</f>
        <v>-99812.61</v>
      </c>
      <c r="C103" s="40"/>
      <c r="D103" s="50">
        <f>($A103*D$97)-($F$40-$F$27-$F$29-$F$30)-($A103*$E$27)-($A103*$E$29)-($A103*$E$30)</f>
        <v>-99662.61</v>
      </c>
      <c r="E103" s="50">
        <f>($A103*E$97)-($F$40-$F$27-$F$29-$F$30)-($A103*$E$27)-($A103*$E$29)-($A103*$E$30)</f>
        <v>-99587.61</v>
      </c>
      <c r="F103" s="50">
        <f>($A103*F$97)-($F$40-$F$27-$F$29-$F$30)-($A103*$E$27)-($A103*$E$29)-($A103*$E$30)</f>
        <v>-99512.61</v>
      </c>
      <c r="G103" s="195">
        <f>($A103*G$97)-($F$40-$F$27-$F$29-$F$30)-($A103*$E$27)-($A103*$E$29)-($A103*$E$30)</f>
        <v>-99362.61</v>
      </c>
      <c r="I103" s="3"/>
      <c r="J103" s="2" t="s">
        <v>0</v>
      </c>
      <c r="K103" s="476">
        <f>A104</f>
      </c>
      <c r="L103" s="472"/>
      <c r="M103" s="472"/>
      <c r="N103" s="472"/>
      <c r="O103" s="472"/>
      <c r="P103" s="473"/>
      <c r="Q103" s="2" t="s">
        <v>0</v>
      </c>
    </row>
    <row r="104" spans="1:17" ht="15">
      <c r="A104" s="202" t="s">
        <v>0</v>
      </c>
      <c r="B104" s="196"/>
      <c r="C104" s="40"/>
      <c r="D104" s="156"/>
      <c r="E104" s="157"/>
      <c r="F104" s="156"/>
      <c r="G104" s="158"/>
      <c r="I104" s="3"/>
      <c r="J104" s="2" t="s">
        <v>0</v>
      </c>
      <c r="K104" s="25"/>
      <c r="L104" s="25"/>
      <c r="M104" s="25"/>
      <c r="N104" s="25"/>
      <c r="O104" s="25"/>
      <c r="P104" s="25"/>
      <c r="Q104" s="2" t="s">
        <v>0</v>
      </c>
    </row>
    <row r="105" spans="1:17" ht="15">
      <c r="A105" s="202">
        <f>ROUND(A103+200,0)</f>
        <v>1700</v>
      </c>
      <c r="B105" s="194">
        <f>($A105*B$97)-($F$40-$F$27-$F$29-$F$30)-($A105*$E$27)-($A105*$E$29)-($A105*$E$30)</f>
        <v>-111909.41</v>
      </c>
      <c r="C105" s="40"/>
      <c r="D105" s="50">
        <f>($A105*D$97)-($F$40-$F$27-$F$29-$F$30)-($A105*$E$27)-($A105*$E$29)-($A105*$E$30)</f>
        <v>-111739.41</v>
      </c>
      <c r="E105" s="50">
        <f>($A105*E$97)-($F$40-$F$27-$F$29-$F$30)-($A105*$E$27)-($A105*$E$29)-($A105*$E$30)</f>
        <v>-111654.41</v>
      </c>
      <c r="F105" s="50">
        <f>($A105*F$97)-($F$40-$F$27-$F$29-$F$30)-($A105*$E$27)-($A105*$E$29)-($A105*$E$30)</f>
        <v>-111569.41</v>
      </c>
      <c r="G105" s="195">
        <f>($A105*G$97)-($F$40-$F$27-$F$29-$F$30)-($A105*$E$27)-($A105*$E$29)-($A105*$E$30)</f>
        <v>-111399.41</v>
      </c>
      <c r="I105" s="3"/>
      <c r="J105" s="2" t="s">
        <v>0</v>
      </c>
      <c r="K105" s="466" t="s">
        <v>0</v>
      </c>
      <c r="L105" s="463"/>
      <c r="M105" s="463"/>
      <c r="N105" s="463"/>
      <c r="O105" s="463"/>
      <c r="P105" s="463"/>
      <c r="Q105" s="465" t="s">
        <v>0</v>
      </c>
    </row>
    <row r="106" spans="1:17" ht="15">
      <c r="A106" s="203"/>
      <c r="B106" s="196"/>
      <c r="C106" s="40"/>
      <c r="D106" s="156"/>
      <c r="E106" s="157"/>
      <c r="F106" s="156"/>
      <c r="G106" s="158"/>
      <c r="I106" s="3"/>
      <c r="J106" s="2" t="s">
        <v>0</v>
      </c>
      <c r="K106" s="25"/>
      <c r="L106" s="25"/>
      <c r="M106" s="25"/>
      <c r="N106" s="25"/>
      <c r="O106" s="25"/>
      <c r="P106" s="25"/>
      <c r="Q106" s="465" t="s">
        <v>0</v>
      </c>
    </row>
    <row r="107" spans="1:17" ht="15">
      <c r="A107" s="202">
        <f>ROUND(A103+400,0)</f>
        <v>1900</v>
      </c>
      <c r="B107" s="194">
        <f>($A107*B$97)-($F$40-$F$27-$F$29-$F$30)-($A107*$E$27)-($A107*$E$29)-($A107*$E$30)</f>
        <v>-124006.20999999999</v>
      </c>
      <c r="C107" s="40"/>
      <c r="D107" s="50">
        <f>($A107*D$97)-($F$40-$F$27-$F$29-$F$30)-($A107*$E$27)-($A107*$E$29)-($A107*$E$30)</f>
        <v>-123816.20999999999</v>
      </c>
      <c r="E107" s="50">
        <f>($A107*E$97)-($F$40-$F$27-$F$29-$F$30)-($A107*$E$27)-($A107*$E$29)-($A107*$E$30)</f>
        <v>-123721.20999999999</v>
      </c>
      <c r="F107" s="50">
        <f>($A107*F$97)-($F$40-$F$27-$F$29-$F$30)-($A107*$E$27)-($A107*$E$29)-($A107*$E$30)</f>
        <v>-123626.20999999999</v>
      </c>
      <c r="G107" s="195">
        <f>($A107*G$97)-($F$40-$F$27-$F$29-$F$30)-($A107*$E$27)-($A107*$E$29)-($A107*$E$30)</f>
        <v>-123436.20999999999</v>
      </c>
      <c r="I107" s="3"/>
      <c r="J107" s="2" t="s">
        <v>0</v>
      </c>
      <c r="K107" s="25"/>
      <c r="L107" s="25"/>
      <c r="M107" s="25"/>
      <c r="N107" s="25"/>
      <c r="O107" s="25"/>
      <c r="P107" s="25"/>
      <c r="Q107" s="465" t="s">
        <v>0</v>
      </c>
    </row>
    <row r="108" spans="1:17" ht="15" thickBot="1">
      <c r="A108" s="58"/>
      <c r="B108" s="197"/>
      <c r="C108" s="33"/>
      <c r="D108" s="174"/>
      <c r="E108" s="175"/>
      <c r="F108" s="174"/>
      <c r="G108" s="176"/>
      <c r="I108" s="3"/>
      <c r="J108" s="2" t="s">
        <v>0</v>
      </c>
      <c r="K108" s="25"/>
      <c r="L108" s="25"/>
      <c r="M108" s="25"/>
      <c r="N108" s="25"/>
      <c r="O108" s="25"/>
      <c r="P108" s="25"/>
      <c r="Q108" s="465" t="s">
        <v>0</v>
      </c>
    </row>
    <row r="109" spans="1:22" ht="15">
      <c r="A109" s="3"/>
      <c r="I109" s="3"/>
      <c r="J109" s="2" t="s">
        <v>0</v>
      </c>
      <c r="K109" s="467"/>
      <c r="L109" s="468"/>
      <c r="M109" s="469"/>
      <c r="N109" s="470"/>
      <c r="O109" s="469"/>
      <c r="P109" s="469"/>
      <c r="Q109" s="2" t="s">
        <v>0</v>
      </c>
      <c r="V109" s="10" t="s">
        <v>0</v>
      </c>
    </row>
    <row r="110" spans="1:22" ht="15" thickBot="1">
      <c r="A110" s="3"/>
      <c r="I110" s="3"/>
      <c r="J110" s="2"/>
      <c r="K110" s="122"/>
      <c r="L110" s="122"/>
      <c r="M110" s="122"/>
      <c r="N110" s="122"/>
      <c r="O110" s="122"/>
      <c r="P110" s="122"/>
      <c r="Q110" s="2"/>
      <c r="V110" s="10"/>
    </row>
    <row r="111" spans="1:22" ht="15" thickBot="1">
      <c r="A111" s="36"/>
      <c r="B111" s="49" t="s">
        <v>261</v>
      </c>
      <c r="C111" s="22"/>
      <c r="D111" s="22"/>
      <c r="E111" s="112"/>
      <c r="F111" s="22"/>
      <c r="G111" s="23"/>
      <c r="I111" s="3"/>
      <c r="J111" s="2" t="s">
        <v>0</v>
      </c>
      <c r="K111" s="353" t="s">
        <v>531</v>
      </c>
      <c r="L111" s="354"/>
      <c r="M111" s="354"/>
      <c r="N111" s="355"/>
      <c r="O111" s="356"/>
      <c r="P111" s="357"/>
      <c r="Q111" s="2" t="s">
        <v>0</v>
      </c>
      <c r="V111" s="10" t="s">
        <v>0</v>
      </c>
    </row>
    <row r="112" spans="1:22" ht="15" thickBot="1">
      <c r="A112" s="36"/>
      <c r="B112" s="22"/>
      <c r="C112" s="22"/>
      <c r="D112" s="177"/>
      <c r="E112" s="178" t="s">
        <v>1</v>
      </c>
      <c r="F112" s="177" t="s">
        <v>2</v>
      </c>
      <c r="G112" s="179"/>
      <c r="I112" s="3"/>
      <c r="J112" s="2" t="s">
        <v>0</v>
      </c>
      <c r="K112" s="477" t="s">
        <v>939</v>
      </c>
      <c r="L112" s="532" t="s">
        <v>938</v>
      </c>
      <c r="M112" s="532"/>
      <c r="N112" s="532"/>
      <c r="O112" s="532"/>
      <c r="P112" s="533"/>
      <c r="Q112" s="2" t="s">
        <v>0</v>
      </c>
      <c r="V112" s="10" t="s">
        <v>0</v>
      </c>
    </row>
    <row r="113" spans="1:22" ht="15.75" thickBot="1">
      <c r="A113" s="60" t="s">
        <v>0</v>
      </c>
      <c r="B113" s="14"/>
      <c r="C113" s="15" t="s">
        <v>3</v>
      </c>
      <c r="D113" s="140" t="s">
        <v>4</v>
      </c>
      <c r="E113" s="141" t="s">
        <v>5</v>
      </c>
      <c r="F113" s="140" t="s">
        <v>6</v>
      </c>
      <c r="G113" s="180" t="s">
        <v>37</v>
      </c>
      <c r="I113" s="335" t="s">
        <v>0</v>
      </c>
      <c r="J113" s="2" t="s">
        <v>0</v>
      </c>
      <c r="K113" s="474" t="s">
        <v>940</v>
      </c>
      <c r="L113" s="460">
        <f>$B$97</f>
        <v>-0.15</v>
      </c>
      <c r="M113" s="461">
        <f>$D$97</f>
        <v>-0.05</v>
      </c>
      <c r="N113" s="461">
        <f>$E$97</f>
        <v>0</v>
      </c>
      <c r="O113" s="461">
        <f>$F$97</f>
        <v>0.05</v>
      </c>
      <c r="P113" s="462">
        <f>$G$97</f>
        <v>0.15</v>
      </c>
      <c r="Q113" s="2" t="s">
        <v>0</v>
      </c>
      <c r="V113" s="10" t="s">
        <v>0</v>
      </c>
    </row>
    <row r="114" spans="1:22" ht="15">
      <c r="A114" s="38"/>
      <c r="B114" s="25"/>
      <c r="C114" s="25"/>
      <c r="D114" s="156"/>
      <c r="E114" s="157"/>
      <c r="F114" s="156"/>
      <c r="G114" s="158"/>
      <c r="I114" s="347" t="s">
        <v>174</v>
      </c>
      <c r="J114" s="2" t="s">
        <v>0</v>
      </c>
      <c r="K114" s="475">
        <f>$A$99</f>
        <v>1100</v>
      </c>
      <c r="L114" s="463">
        <f>($A99*L$113)-($F$40-$F$27-$F$29-$F$30)-($A99*$E$27)-($A99*$E$29)-($A99*$E$30)-($F$49)-($F$52)-($D$53-$F$27-$F$29-$F$30+($A99*$E$27)+($A99*$E$29)+($A99*$E$30))*$E$53</f>
        <v>-81574.8407</v>
      </c>
      <c r="M114" s="463">
        <f>($A99*M$113)-($F$40-$F$27-$F$29-$F$30)-($A99*$E$27)-($A99*$E$29)-($A99*$E$30)-($F$49)-($F$52)-($D$53-$F$27-$F$29-$F$30+($A99*$E$27)+($A99*$E$29)+($A99*$E$30))*$E$53</f>
        <v>-81464.8407</v>
      </c>
      <c r="N114" s="463">
        <f>($A99*N$113)-($F$40-$F$27-$F$29-$F$30)-($A99*$E$27)-($A99*$E$29)-($A99*$E$30)-($F$49)-($F$52)-($D$53-$F$27-$F$29-$F$30+($A99*$E$27)+($A99*$E$29)+($A99*$E$30))*$E$53</f>
        <v>-81409.8407</v>
      </c>
      <c r="O114" s="463">
        <f>($A99*O$113)-($F$40-$F$27-$F$29-$F$30)-($A99*$E$27)-($A99*$E$29)-($A99*$E$30)-($F$49)-($F$52)-($D$53-$F$27-$F$29-$F$30+($A99*$E$27)+($A99*$E$29)+($A99*$E$30))*$E$53</f>
        <v>-81354.8407</v>
      </c>
      <c r="P114" s="464">
        <f>($A99*P$113)-($F$40-$F$27-$F$29-$F$30)-($A99*$E$27)-($A99*$E$29)-($A99*$E$30)-($F$49)-($F$52)-($D$53-$F$27-$F$29-$F$30+($A99*$E$27)+($A99*$E$29)+($A99*$E$30))*$E$53</f>
        <v>-81244.8407</v>
      </c>
      <c r="Q114" s="2" t="s">
        <v>0</v>
      </c>
      <c r="V114" s="10" t="s">
        <v>0</v>
      </c>
    </row>
    <row r="115" spans="1:22" ht="15.75" thickBot="1">
      <c r="A115" s="28" t="s">
        <v>257</v>
      </c>
      <c r="B115" s="25"/>
      <c r="C115" s="25"/>
      <c r="D115" s="156"/>
      <c r="E115" s="157"/>
      <c r="F115" s="156"/>
      <c r="G115" s="158"/>
      <c r="I115" s="348" t="s">
        <v>36</v>
      </c>
      <c r="J115" s="2" t="s">
        <v>0</v>
      </c>
      <c r="K115" s="475">
        <f>$A$101</f>
        <v>1300</v>
      </c>
      <c r="L115" s="463">
        <f>($A101*L$113)-($F$40-$F$27-$F$29-$F$30)-($A101*$E$27)-($A101*$E$29)-($A101*$E$30)-($F$49)-($F$52)-($D$53-$F$27-$F$29-$F$30+($A101*$E$27)+($A101*$E$29)+($A101*$E$30))*$E$53</f>
        <v>-94516.3167</v>
      </c>
      <c r="M115" s="463">
        <f>($A101*M$113)-($F$40-$F$27-$F$29-$F$30)-($A101*$E$27)-($A101*$E$29)-($A101*$E$30)-($F$49)-($F$52)-($D$53-$F$27-$F$29-$F$30+($A101*$E$27)+($A101*$E$29)+($A101*$E$30))*$E$53</f>
        <v>-94386.3167</v>
      </c>
      <c r="N115" s="463">
        <f>($A101*N$113)-($F$40-$F$27-$F$29-$F$30)-($A101*$E$27)-($A101*$E$29)-($A101*$E$30)-($F$49)-($F$52)-($D$53-$F$27-$F$29-$F$30+($A101*$E$27)+($A101*$E$29)+($A101*$E$30))*$E$53</f>
        <v>-94321.3167</v>
      </c>
      <c r="O115" s="463">
        <f>($A101*O$113)-($F$40-$F$27-$F$29-$F$30)-($A101*$E$27)-($A101*$E$29)-($A101*$E$30)-($F$49)-($F$52)-($D$53-$F$27-$F$29-$F$30+($A101*$E$27)+($A101*$E$29)+($A101*$E$30))*$E$53</f>
        <v>-94256.3167</v>
      </c>
      <c r="P115" s="464">
        <f>($A101*P$113)-($F$40-$F$27-$F$29-$F$30)-($A101*$E$27)-($A101*$E$29)-($A101*$E$30)-($F$49)-($F$52)-($D$53-$F$27-$F$29-$F$30+($A101*$E$27)+($A101*$E$29)+($A101*$E$30))*$E$53</f>
        <v>-94126.3167</v>
      </c>
      <c r="Q115" s="2" t="s">
        <v>0</v>
      </c>
      <c r="V115" s="10" t="s">
        <v>0</v>
      </c>
    </row>
    <row r="116" spans="1:22" ht="15">
      <c r="A116" s="117"/>
      <c r="B116" s="70"/>
      <c r="C116" s="72"/>
      <c r="D116" s="185"/>
      <c r="E116" s="181"/>
      <c r="F116" s="164"/>
      <c r="G116" s="186" t="s">
        <v>252</v>
      </c>
      <c r="I116" s="349"/>
      <c r="J116" s="2" t="s">
        <v>0</v>
      </c>
      <c r="K116" s="475">
        <f>$A$103</f>
        <v>1500</v>
      </c>
      <c r="L116" s="463">
        <f>($A103*L$113)-($F$40-$F$27-$F$29-$F$30)-($A103*$E$27)-($A103*$E$29)-($A103*$E$30)-($F$49)-($F$52)-($D$53-$F$27-$F$29-$F$30+($A103*$E$27)+($A103*$E$29)+($A103*$E$30))*$E$53</f>
        <v>-107457.7927</v>
      </c>
      <c r="M116" s="463">
        <f>($A103*M$113)-($F$40-$F$27-$F$29-$F$30)-($A103*$E$27)-($A103*$E$29)-($A103*$E$30)-($F$49)-($F$52)-($D$53-$F$27-$F$29-$F$30+($A103*$E$27)+($A103*$E$29)+($A103*$E$30))*$E$53</f>
        <v>-107307.7927</v>
      </c>
      <c r="N116" s="463">
        <f>($A103*N$113)-($F$40-$F$27-$F$29-$F$30)-($A103*$E$27)-($A103*$E$29)-($A103*$E$30)-($F$49)-($F$52)-($D$53-$F$27-$F$29-$F$30+($A103*$E$27)+($A103*$E$29)+($A103*$E$30))*$E$53</f>
        <v>-107232.7927</v>
      </c>
      <c r="O116" s="463">
        <f>($A103*O$113)-($F$40-$F$27-$F$29-$F$30)-($A103*$E$27)-($A103*$E$29)-($A103*$E$30)-($F$49)-($F$52)-($D$53-$F$27-$F$29-$F$30+($A103*$E$27)+($A103*$E$29)+($A103*$E$30))*$E$53</f>
        <v>-107157.7927</v>
      </c>
      <c r="P116" s="464">
        <f>($A103*P$113)-($F$40-$F$27-$F$29-$F$30)-($A103*$E$27)-($A103*$E$29)-($A103*$E$30)-($F$49)-($F$52)-($D$53-$F$27-$F$29-$F$30+($A103*$E$27)+($A103*$E$29)+($A103*$E$30))*$E$53</f>
        <v>-107007.7927</v>
      </c>
      <c r="Q116" s="2" t="s">
        <v>0</v>
      </c>
      <c r="V116" s="10" t="s">
        <v>0</v>
      </c>
    </row>
    <row r="117" spans="1:22" ht="15">
      <c r="A117" s="117"/>
      <c r="B117" s="70"/>
      <c r="C117" s="72"/>
      <c r="D117" s="185"/>
      <c r="E117" s="181"/>
      <c r="F117" s="164"/>
      <c r="G117" s="186" t="s">
        <v>252</v>
      </c>
      <c r="I117" s="349"/>
      <c r="J117" s="2" t="s">
        <v>0</v>
      </c>
      <c r="K117" s="475">
        <f>$A$105</f>
        <v>1700</v>
      </c>
      <c r="L117" s="463">
        <f>($A105*L$113)-($F$40-$F$27-$F$29-$F$30)-($A105*$E$27)-($A105*$E$29)-($A105*$E$30)-($F$49)-($F$52)-($D$53-$F$27-$F$29-$F$30+($A105*$E$27)+($A105*$E$29)+($A105*$E$30))*$E$53</f>
        <v>-120399.26870000002</v>
      </c>
      <c r="M117" s="463">
        <f>($A105*M$113)-($F$40-$F$27-$F$29-$F$30)-($A105*$E$27)-($A105*$E$29)-($A105*$E$30)-($F$49)-($F$52)-($D$53-$F$27-$F$29-$F$30+($A105*$E$27)+($A105*$E$29)+($A105*$E$30))*$E$53</f>
        <v>-120229.26870000002</v>
      </c>
      <c r="N117" s="463">
        <f>($A105*N$113)-($F$40-$F$27-$F$29-$F$30)-($A105*$E$27)-($A105*$E$29)-($A105*$E$30)-($F$49)-($F$52)-($D$53-$F$27-$F$29-$F$30+($A105*$E$27)+($A105*$E$29)+($A105*$E$30))*$E$53</f>
        <v>-120144.26870000002</v>
      </c>
      <c r="O117" s="463">
        <f>($A105*O$113)-($F$40-$F$27-$F$29-$F$30)-($A105*$E$27)-($A105*$E$29)-($A105*$E$30)-($F$49)-($F$52)-($D$53-$F$27-$F$29-$F$30+($A105*$E$27)+($A105*$E$29)+($A105*$E$30))*$E$53</f>
        <v>-120059.26870000002</v>
      </c>
      <c r="P117" s="464">
        <f>($A105*P$113)-($F$40-$F$27-$F$29-$F$30)-($A105*$E$27)-($A105*$E$29)-($A105*$E$30)-($F$49)-($F$52)-($D$53-$F$27-$F$29-$F$30+($A105*$E$27)+($A105*$E$29)+($A105*$E$30))*$E$53</f>
        <v>-119889.26870000002</v>
      </c>
      <c r="Q117" s="2" t="s">
        <v>0</v>
      </c>
      <c r="V117" s="10" t="s">
        <v>0</v>
      </c>
    </row>
    <row r="118" spans="1:22" ht="15">
      <c r="A118" s="117"/>
      <c r="B118" s="70"/>
      <c r="C118" s="72"/>
      <c r="D118" s="185"/>
      <c r="E118" s="181"/>
      <c r="F118" s="164"/>
      <c r="G118" s="186" t="s">
        <v>252</v>
      </c>
      <c r="I118" s="349"/>
      <c r="J118" s="2"/>
      <c r="K118" s="475">
        <f>$A$107</f>
        <v>1900</v>
      </c>
      <c r="L118" s="463">
        <f>($A107*L$113)-($F$40-$F$27-$F$29-$F$30)-($A107*$E$27)-($A107*$E$29)-($A107*$E$30)-($F$49)-($F$52)-($D$53-$F$27-$F$29-$F$30+($A107*$E$27)+($A107*$E$29)+($A107*$E$30))*$E$53</f>
        <v>-133340.74469999998</v>
      </c>
      <c r="M118" s="463">
        <f>($A107*M$113)-($F$40-$F$27-$F$29-$F$30)-($A107*$E$27)-($A107*$E$29)-($A107*$E$30)-($F$49)-($F$52)-($D$53-$F$27-$F$29-$F$30+($A107*$E$27)+($A107*$E$29)+($A107*$E$30))*$E$53</f>
        <v>-133150.74469999998</v>
      </c>
      <c r="N118" s="463">
        <f>($A107*N$113)-($F$40-$F$27-$F$29-$F$30)-($A107*$E$27)-($A107*$E$29)-($A107*$E$30)-($F$49)-($F$52)-($D$53-$F$27-$F$29-$F$30+($A107*$E$27)+($A107*$E$29)+($A107*$E$30))*$E$53</f>
        <v>-133055.74469999998</v>
      </c>
      <c r="O118" s="463">
        <f>($A107*O$113)-($F$40-$F$27-$F$29-$F$30)-($A107*$E$27)-($A107*$E$29)-($A107*$E$30)-($F$49)-($F$52)-($D$53-$F$27-$F$29-$F$30+($A107*$E$27)+($A107*$E$29)+($A107*$E$30))*$E$53</f>
        <v>-132960.74469999998</v>
      </c>
      <c r="P118" s="464">
        <f>($A107*P$113)-($F$40-$F$27-$F$29-$F$30)-($A107*$E$27)-($A107*$E$29)-($A107*$E$30)-($F$49)-($F$52)-($D$53-$F$27-$F$29-$F$30+($A107*$E$27)+($A107*$E$29)+($A107*$E$30))*$E$53</f>
        <v>-132770.74469999998</v>
      </c>
      <c r="Q118" s="2"/>
      <c r="V118" s="10"/>
    </row>
    <row r="119" spans="1:22" ht="15.75" thickBot="1">
      <c r="A119" s="117"/>
      <c r="B119" s="70"/>
      <c r="C119" s="72"/>
      <c r="D119" s="185"/>
      <c r="E119" s="181"/>
      <c r="F119" s="164"/>
      <c r="G119" s="186"/>
      <c r="I119" s="349"/>
      <c r="J119" s="2"/>
      <c r="K119" s="471"/>
      <c r="L119" s="472"/>
      <c r="M119" s="472"/>
      <c r="N119" s="472"/>
      <c r="O119" s="472"/>
      <c r="P119" s="473"/>
      <c r="Q119" s="2"/>
      <c r="V119" s="10"/>
    </row>
    <row r="120" spans="1:22" ht="15">
      <c r="A120" s="118" t="s">
        <v>256</v>
      </c>
      <c r="B120" s="70"/>
      <c r="C120" s="72"/>
      <c r="D120" s="185"/>
      <c r="E120" s="182"/>
      <c r="F120" s="164"/>
      <c r="G120" s="186"/>
      <c r="I120" s="349"/>
      <c r="J120" s="2" t="s">
        <v>0</v>
      </c>
      <c r="K120" s="25"/>
      <c r="L120" s="25"/>
      <c r="M120" s="25"/>
      <c r="N120" s="25"/>
      <c r="O120" s="25"/>
      <c r="P120" s="25"/>
      <c r="Q120" s="2" t="s">
        <v>0</v>
      </c>
      <c r="V120" s="10" t="s">
        <v>0</v>
      </c>
    </row>
    <row r="121" spans="1:22" ht="15">
      <c r="A121" s="117"/>
      <c r="B121" s="70"/>
      <c r="C121" s="72"/>
      <c r="D121" s="185"/>
      <c r="E121" s="181"/>
      <c r="F121" s="164"/>
      <c r="G121" s="186" t="s">
        <v>350</v>
      </c>
      <c r="I121" s="349"/>
      <c r="J121" s="2" t="s">
        <v>0</v>
      </c>
      <c r="K121" s="466" t="s">
        <v>0</v>
      </c>
      <c r="L121" s="463"/>
      <c r="M121" s="463"/>
      <c r="N121" s="463"/>
      <c r="O121" s="463"/>
      <c r="P121" s="463"/>
      <c r="Q121" s="2" t="s">
        <v>0</v>
      </c>
      <c r="V121" s="10" t="s">
        <v>0</v>
      </c>
    </row>
    <row r="122" spans="1:22" ht="15">
      <c r="A122" s="117"/>
      <c r="B122" s="70"/>
      <c r="C122" s="72"/>
      <c r="D122" s="185"/>
      <c r="E122" s="181"/>
      <c r="F122" s="164"/>
      <c r="G122" s="186" t="s">
        <v>253</v>
      </c>
      <c r="I122" s="349"/>
      <c r="J122" s="2" t="s">
        <v>0</v>
      </c>
      <c r="K122" s="25"/>
      <c r="L122" s="25"/>
      <c r="M122" s="25"/>
      <c r="N122" s="25"/>
      <c r="O122" s="25"/>
      <c r="P122" s="25"/>
      <c r="Q122" s="2" t="s">
        <v>0</v>
      </c>
      <c r="V122" s="10" t="s">
        <v>0</v>
      </c>
    </row>
    <row r="123" spans="1:22" ht="15">
      <c r="A123" s="117"/>
      <c r="B123" s="70"/>
      <c r="C123" s="72"/>
      <c r="D123" s="185"/>
      <c r="E123" s="181"/>
      <c r="F123" s="164"/>
      <c r="G123" s="186" t="s">
        <v>253</v>
      </c>
      <c r="I123" s="349"/>
      <c r="J123" s="2"/>
      <c r="K123" s="467"/>
      <c r="L123" s="468"/>
      <c r="M123" s="469"/>
      <c r="N123" s="470"/>
      <c r="O123" s="469"/>
      <c r="P123" s="469"/>
      <c r="Q123" s="2"/>
      <c r="V123" s="10"/>
    </row>
    <row r="124" spans="1:22" ht="15">
      <c r="A124" s="118"/>
      <c r="B124" s="70"/>
      <c r="C124" s="72"/>
      <c r="D124" s="185"/>
      <c r="E124" s="182"/>
      <c r="F124" s="164"/>
      <c r="G124" s="186"/>
      <c r="I124" s="349"/>
      <c r="J124" s="2"/>
      <c r="K124" s="478"/>
      <c r="L124" s="468"/>
      <c r="M124" s="468"/>
      <c r="N124" s="468"/>
      <c r="O124" s="468"/>
      <c r="P124" s="468"/>
      <c r="Q124" s="2"/>
      <c r="V124" s="10"/>
    </row>
    <row r="125" spans="1:22" ht="15">
      <c r="A125" s="118" t="s">
        <v>258</v>
      </c>
      <c r="B125" s="70"/>
      <c r="C125" s="72"/>
      <c r="D125" s="185"/>
      <c r="E125" s="182"/>
      <c r="F125" s="164"/>
      <c r="G125" s="186"/>
      <c r="I125" s="349"/>
      <c r="J125" s="2" t="s">
        <v>0</v>
      </c>
      <c r="K125" s="7" t="s">
        <v>0</v>
      </c>
      <c r="Q125" s="2" t="s">
        <v>0</v>
      </c>
      <c r="V125" s="10" t="s">
        <v>0</v>
      </c>
    </row>
    <row r="126" spans="1:22" ht="15">
      <c r="A126" s="117"/>
      <c r="B126" s="70"/>
      <c r="C126" s="72"/>
      <c r="D126" s="185"/>
      <c r="E126" s="181"/>
      <c r="F126" s="164"/>
      <c r="G126" s="370" t="s">
        <v>827</v>
      </c>
      <c r="I126" s="349"/>
      <c r="J126" s="2" t="s">
        <v>0</v>
      </c>
      <c r="K126" s="7" t="s">
        <v>0</v>
      </c>
      <c r="Q126" s="2" t="s">
        <v>0</v>
      </c>
      <c r="V126" s="10" t="s">
        <v>0</v>
      </c>
    </row>
    <row r="127" spans="1:22" ht="15">
      <c r="A127" s="117"/>
      <c r="B127" s="70"/>
      <c r="C127" s="72"/>
      <c r="D127" s="400"/>
      <c r="E127" s="181"/>
      <c r="F127" s="164"/>
      <c r="G127" s="370" t="s">
        <v>864</v>
      </c>
      <c r="I127" s="349"/>
      <c r="J127" s="2" t="s">
        <v>0</v>
      </c>
      <c r="K127" s="7" t="s">
        <v>0</v>
      </c>
      <c r="Q127" s="2" t="s">
        <v>0</v>
      </c>
      <c r="V127" s="10" t="s">
        <v>0</v>
      </c>
    </row>
    <row r="128" spans="1:22" ht="15">
      <c r="A128" s="117"/>
      <c r="B128" s="70"/>
      <c r="C128" s="72"/>
      <c r="D128" s="400"/>
      <c r="E128" s="181"/>
      <c r="F128" s="164"/>
      <c r="G128" s="370"/>
      <c r="I128" s="349"/>
      <c r="J128" s="125"/>
      <c r="K128" s="123"/>
      <c r="Q128" s="2" t="s">
        <v>0</v>
      </c>
      <c r="V128" s="10" t="s">
        <v>0</v>
      </c>
    </row>
    <row r="129" spans="1:22" ht="15">
      <c r="A129" s="117"/>
      <c r="B129" s="70"/>
      <c r="C129" s="72"/>
      <c r="D129" s="185"/>
      <c r="E129" s="181"/>
      <c r="F129" s="164"/>
      <c r="G129" s="186" t="s">
        <v>252</v>
      </c>
      <c r="I129" s="349"/>
      <c r="J129" s="2" t="s">
        <v>0</v>
      </c>
      <c r="K129" s="7" t="s">
        <v>0</v>
      </c>
      <c r="Q129" s="2" t="s">
        <v>0</v>
      </c>
      <c r="V129" s="10" t="s">
        <v>0</v>
      </c>
    </row>
    <row r="130" spans="1:22" ht="15">
      <c r="A130" s="117"/>
      <c r="B130" s="70"/>
      <c r="C130" s="72"/>
      <c r="D130" s="185"/>
      <c r="E130" s="181"/>
      <c r="F130" s="164"/>
      <c r="G130" s="186" t="s">
        <v>252</v>
      </c>
      <c r="I130" s="349"/>
      <c r="J130" s="2"/>
      <c r="K130" s="7"/>
      <c r="Q130" s="2"/>
      <c r="V130" s="10"/>
    </row>
    <row r="131" spans="1:22" ht="15">
      <c r="A131" s="118"/>
      <c r="B131" s="70"/>
      <c r="C131" s="72"/>
      <c r="D131" s="156"/>
      <c r="E131" s="182"/>
      <c r="F131" s="164"/>
      <c r="G131" s="158"/>
      <c r="I131" s="350"/>
      <c r="J131" s="2" t="s">
        <v>0</v>
      </c>
      <c r="K131" s="7" t="s">
        <v>0</v>
      </c>
      <c r="Q131" s="2" t="s">
        <v>0</v>
      </c>
      <c r="V131" s="10" t="s">
        <v>0</v>
      </c>
    </row>
    <row r="132" spans="1:22" ht="15">
      <c r="A132" s="117"/>
      <c r="B132" s="25"/>
      <c r="C132" s="74"/>
      <c r="D132" s="156"/>
      <c r="E132" s="182"/>
      <c r="F132" s="156"/>
      <c r="G132" s="158"/>
      <c r="H132" s="351"/>
      <c r="I132" s="352"/>
      <c r="J132" s="2" t="s">
        <v>0</v>
      </c>
      <c r="K132" s="7" t="s">
        <v>0</v>
      </c>
      <c r="Q132" s="2" t="s">
        <v>0</v>
      </c>
      <c r="V132" s="10" t="s">
        <v>0</v>
      </c>
    </row>
    <row r="133" spans="1:22" ht="15">
      <c r="A133" s="117"/>
      <c r="B133" s="71" t="s">
        <v>42</v>
      </c>
      <c r="C133" s="25"/>
      <c r="D133" s="156"/>
      <c r="E133" s="157"/>
      <c r="F133" s="164">
        <f>SUM(F116:F132)</f>
        <v>0</v>
      </c>
      <c r="G133" s="158"/>
      <c r="H133" s="351"/>
      <c r="I133" s="352"/>
      <c r="J133" s="2"/>
      <c r="K133" s="7"/>
      <c r="Q133" s="2"/>
      <c r="V133" s="10"/>
    </row>
    <row r="135" spans="1:22" ht="15">
      <c r="A135" s="61"/>
      <c r="B135" s="26"/>
      <c r="C135" s="25"/>
      <c r="D135" s="40"/>
      <c r="E135" s="108"/>
      <c r="F135" s="43"/>
      <c r="G135" s="41"/>
      <c r="I135" s="352"/>
      <c r="J135" s="2" t="s">
        <v>0</v>
      </c>
      <c r="K135" s="7" t="s">
        <v>0</v>
      </c>
      <c r="Q135" s="2" t="s">
        <v>0</v>
      </c>
      <c r="V135" s="10" t="s">
        <v>0</v>
      </c>
    </row>
    <row r="136" spans="1:22" ht="15" customHeight="1" thickBot="1">
      <c r="A136" s="62"/>
      <c r="B136" s="33"/>
      <c r="C136" s="33"/>
      <c r="D136" s="33"/>
      <c r="E136" s="113"/>
      <c r="F136" s="33"/>
      <c r="G136" s="59"/>
      <c r="I136" s="348"/>
      <c r="J136" s="2" t="s">
        <v>0</v>
      </c>
      <c r="Q136" s="2" t="s">
        <v>0</v>
      </c>
      <c r="V136" s="10" t="s">
        <v>0</v>
      </c>
    </row>
    <row r="137" spans="1:22" ht="15" customHeight="1">
      <c r="A137" s="358" t="s">
        <v>349</v>
      </c>
      <c r="D137" s="3"/>
      <c r="E137" s="109"/>
      <c r="F137" s="3"/>
      <c r="G137" s="3"/>
      <c r="I137" s="3"/>
      <c r="J137" s="2" t="s">
        <v>0</v>
      </c>
      <c r="Q137" s="2" t="s">
        <v>0</v>
      </c>
      <c r="V137" s="10" t="s">
        <v>0</v>
      </c>
    </row>
    <row r="138" spans="1:22" ht="15" customHeight="1">
      <c r="A138" s="359" t="s">
        <v>954</v>
      </c>
      <c r="D138" s="3"/>
      <c r="E138" s="109"/>
      <c r="F138" s="3"/>
      <c r="G138" s="3"/>
      <c r="I138" s="3"/>
      <c r="J138" s="2" t="s">
        <v>0</v>
      </c>
      <c r="Q138" s="2" t="s">
        <v>0</v>
      </c>
      <c r="V138" s="10" t="s">
        <v>0</v>
      </c>
    </row>
    <row r="139" spans="1:22" ht="15">
      <c r="A139" s="360"/>
      <c r="G139" s="3"/>
      <c r="I139" s="3"/>
      <c r="J139" s="2" t="s">
        <v>0</v>
      </c>
      <c r="Q139" s="2" t="s">
        <v>0</v>
      </c>
      <c r="V139" s="10" t="s">
        <v>0</v>
      </c>
    </row>
    <row r="140" spans="1:22" ht="15">
      <c r="A140" s="498" t="s">
        <v>960</v>
      </c>
      <c r="B140" s="499"/>
      <c r="C140" s="499"/>
      <c r="D140" s="500"/>
      <c r="E140" s="501"/>
      <c r="F140" s="500"/>
      <c r="G140" s="502"/>
      <c r="H140" s="502"/>
      <c r="I140" s="503"/>
      <c r="J140" s="2" t="s">
        <v>0</v>
      </c>
      <c r="Q140" s="2" t="s">
        <v>0</v>
      </c>
      <c r="V140" s="10" t="s">
        <v>0</v>
      </c>
    </row>
    <row r="141" spans="1:22" ht="15">
      <c r="A141" s="504" t="s">
        <v>959</v>
      </c>
      <c r="B141" s="500"/>
      <c r="C141" s="500"/>
      <c r="D141" s="500"/>
      <c r="E141" s="505"/>
      <c r="F141" s="500"/>
      <c r="G141" s="503"/>
      <c r="H141" s="503"/>
      <c r="I141" s="502"/>
      <c r="J141" s="2" t="s">
        <v>0</v>
      </c>
      <c r="K141" s="7" t="s">
        <v>0</v>
      </c>
      <c r="Q141" s="2" t="s">
        <v>0</v>
      </c>
      <c r="V141" s="10" t="s">
        <v>0</v>
      </c>
    </row>
    <row r="142" spans="1:22" ht="15">
      <c r="A142" s="496"/>
      <c r="B142" s="63"/>
      <c r="C142" s="63"/>
      <c r="D142" s="63"/>
      <c r="E142" s="497"/>
      <c r="F142" s="63"/>
      <c r="G142" s="3"/>
      <c r="J142" s="2" t="s">
        <v>0</v>
      </c>
      <c r="K142" s="7" t="s">
        <v>0</v>
      </c>
      <c r="Q142" s="2" t="s">
        <v>0</v>
      </c>
      <c r="V142" s="10" t="s">
        <v>0</v>
      </c>
    </row>
    <row r="143" spans="5:22" ht="15">
      <c r="E143" s="115"/>
      <c r="G143" s="3"/>
      <c r="J143" s="2" t="s">
        <v>0</v>
      </c>
      <c r="K143" s="7" t="s">
        <v>0</v>
      </c>
      <c r="Q143" s="2" t="s">
        <v>0</v>
      </c>
      <c r="V143" s="10" t="s">
        <v>0</v>
      </c>
    </row>
    <row r="144" spans="7:11" ht="15">
      <c r="G144" s="3"/>
      <c r="J144" s="2" t="s">
        <v>0</v>
      </c>
      <c r="K144" s="7" t="s">
        <v>0</v>
      </c>
    </row>
    <row r="145" spans="10:11" ht="15">
      <c r="J145" s="2" t="s">
        <v>0</v>
      </c>
      <c r="K145" s="7" t="s">
        <v>0</v>
      </c>
    </row>
    <row r="146" spans="10:11" ht="15">
      <c r="J146" s="2" t="s">
        <v>0</v>
      </c>
      <c r="K146" s="7" t="s">
        <v>0</v>
      </c>
    </row>
    <row r="147" spans="10:11" ht="15">
      <c r="J147" s="2" t="s">
        <v>0</v>
      </c>
      <c r="K147" s="7" t="s">
        <v>0</v>
      </c>
    </row>
    <row r="148" spans="10:11" ht="15">
      <c r="J148" s="2" t="s">
        <v>0</v>
      </c>
      <c r="K148" s="7" t="s">
        <v>0</v>
      </c>
    </row>
    <row r="151" ht="15">
      <c r="G151" s="3"/>
    </row>
    <row r="152" ht="15">
      <c r="G152" s="3"/>
    </row>
    <row r="177" spans="1:7" ht="15">
      <c r="A177" s="2"/>
      <c r="B177" s="2"/>
      <c r="C177" s="2"/>
      <c r="D177" s="2"/>
      <c r="F177" s="2"/>
      <c r="G177" s="2"/>
    </row>
    <row r="181" spans="2:5" ht="15">
      <c r="B181" s="7"/>
      <c r="C181" s="7"/>
      <c r="D181" s="7"/>
      <c r="E181" s="111"/>
    </row>
    <row r="182" spans="2:13" ht="15">
      <c r="B182" s="7"/>
      <c r="C182" s="7"/>
      <c r="D182" s="7"/>
      <c r="E182" s="111"/>
      <c r="H182" s="7"/>
      <c r="J182" s="7"/>
      <c r="K182" s="3"/>
      <c r="L182" s="3"/>
      <c r="M182" s="8"/>
    </row>
    <row r="183" spans="2:12" ht="15">
      <c r="B183" s="7"/>
      <c r="C183" s="7"/>
      <c r="D183" s="7"/>
      <c r="E183" s="111"/>
      <c r="I183" s="7"/>
      <c r="J183" s="7"/>
      <c r="K183" s="3"/>
      <c r="L183" s="3"/>
    </row>
    <row r="184" spans="2:12" ht="15">
      <c r="B184" s="7"/>
      <c r="C184" s="7"/>
      <c r="D184" s="7"/>
      <c r="E184" s="111"/>
      <c r="I184" s="7"/>
      <c r="J184" s="7"/>
      <c r="K184" s="3"/>
      <c r="L184" s="3"/>
    </row>
    <row r="185" spans="2:12" ht="15">
      <c r="B185" s="7"/>
      <c r="C185" s="7"/>
      <c r="D185" s="7"/>
      <c r="I185" s="7"/>
      <c r="J185" s="7"/>
      <c r="K185" s="3"/>
      <c r="L185" s="3"/>
    </row>
    <row r="186" spans="2:12" ht="15">
      <c r="B186" s="7"/>
      <c r="I186" s="7"/>
      <c r="J186" s="7"/>
      <c r="K186" s="3"/>
      <c r="L186" s="3"/>
    </row>
    <row r="187" spans="2:12" ht="15">
      <c r="B187" s="7"/>
      <c r="I187" s="7"/>
      <c r="J187" s="7"/>
      <c r="K187" s="3"/>
      <c r="L187" s="3"/>
    </row>
    <row r="188" spans="2:12" ht="15">
      <c r="B188" s="7"/>
      <c r="I188" s="7"/>
      <c r="J188" s="7"/>
      <c r="K188" s="3"/>
      <c r="L188" s="3"/>
    </row>
    <row r="189" spans="2:9" ht="15">
      <c r="B189" s="7"/>
      <c r="I189" s="7"/>
    </row>
    <row r="190" spans="2:12" ht="15">
      <c r="B190" s="7"/>
      <c r="H190" s="7"/>
      <c r="J190" s="7"/>
      <c r="K190" s="3"/>
      <c r="L190" s="3"/>
    </row>
    <row r="191" spans="2:12" ht="15">
      <c r="B191" s="7"/>
      <c r="I191" s="7"/>
      <c r="J191" s="7"/>
      <c r="K191" s="3"/>
      <c r="L191" s="3"/>
    </row>
    <row r="192" spans="9:12" ht="15">
      <c r="I192" s="7"/>
      <c r="J192" s="7"/>
      <c r="K192" s="3"/>
      <c r="L192" s="3"/>
    </row>
    <row r="193" spans="5:12" ht="15">
      <c r="E193" s="111"/>
      <c r="I193" s="7"/>
      <c r="J193" s="7"/>
      <c r="K193" s="3"/>
      <c r="L193" s="3"/>
    </row>
    <row r="194" spans="1:9" ht="15">
      <c r="A194" s="7"/>
      <c r="B194" s="7"/>
      <c r="C194" s="7"/>
      <c r="D194" s="7"/>
      <c r="I194" s="7"/>
    </row>
    <row r="195" spans="2:12" ht="15">
      <c r="B195" s="7"/>
      <c r="H195" s="7"/>
      <c r="J195" s="7"/>
      <c r="K195" s="3"/>
      <c r="L195" s="3"/>
    </row>
    <row r="196" spans="2:12" ht="15">
      <c r="B196" s="7"/>
      <c r="I196" s="7"/>
      <c r="J196" s="7"/>
      <c r="K196" s="3"/>
      <c r="L196" s="3"/>
    </row>
    <row r="197" spans="2:12" ht="15">
      <c r="B197" s="7"/>
      <c r="I197" s="7"/>
      <c r="J197" s="7"/>
      <c r="K197" s="3"/>
      <c r="L197" s="3"/>
    </row>
    <row r="198" spans="2:9" ht="15">
      <c r="B198" s="7"/>
      <c r="I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</sheetData>
  <sheetProtection/>
  <mergeCells count="3">
    <mergeCell ref="L96:P96"/>
    <mergeCell ref="L112:P112"/>
    <mergeCell ref="L80:P80"/>
  </mergeCells>
  <printOptions/>
  <pageMargins left="1.65" right="0.75" top="1" bottom="1.28" header="0.5" footer="0.5"/>
  <pageSetup fitToWidth="2" horizontalDpi="300" verticalDpi="300" orientation="portrait" scale="54" r:id="rId1"/>
  <rowBreaks count="1" manualBreakCount="1">
    <brk id="69" max="6" man="1"/>
  </rowBreaks>
  <ignoredErrors>
    <ignoredError sqref="B120:E120 K85:K86 B124:E1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0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7.3359375" style="1" customWidth="1"/>
    <col min="3" max="3" width="18.5546875" style="1" customWidth="1"/>
    <col min="4" max="4" width="18.10546875" style="1" customWidth="1"/>
    <col min="5" max="5" width="6.21484375" style="1" customWidth="1"/>
    <col min="6" max="6" width="5.99609375" style="1" customWidth="1"/>
    <col min="7" max="9" width="8.88671875" style="1" customWidth="1"/>
    <col min="10" max="10" width="23.5546875" style="1" customWidth="1"/>
    <col min="11" max="16384" width="8.88671875" style="1" customWidth="1"/>
  </cols>
  <sheetData>
    <row r="1" spans="1:11" ht="17.25">
      <c r="A1" s="65" t="s">
        <v>790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7.25">
      <c r="A2" s="65"/>
      <c r="B2" s="216"/>
      <c r="C2" s="216"/>
      <c r="D2" s="216"/>
      <c r="E2" s="216"/>
      <c r="F2" s="216"/>
      <c r="G2" s="216"/>
      <c r="H2" s="216"/>
      <c r="I2" s="216"/>
      <c r="J2" s="216"/>
      <c r="K2" s="217"/>
    </row>
    <row r="3" spans="1:11" ht="15" thickBot="1">
      <c r="A3" s="67"/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15" thickTop="1">
      <c r="A4" s="75"/>
      <c r="B4" s="218"/>
      <c r="C4" s="218" t="s">
        <v>56</v>
      </c>
      <c r="D4" s="218"/>
      <c r="E4" s="218"/>
      <c r="F4" s="218" t="s">
        <v>52</v>
      </c>
      <c r="G4" s="219"/>
      <c r="H4" s="218"/>
      <c r="I4" s="218" t="s">
        <v>53</v>
      </c>
      <c r="J4" s="218" t="s">
        <v>54</v>
      </c>
      <c r="K4" s="217"/>
    </row>
    <row r="5" spans="1:11" ht="15" thickBot="1">
      <c r="A5" s="401" t="s">
        <v>36</v>
      </c>
      <c r="B5" s="76" t="s">
        <v>55</v>
      </c>
      <c r="C5" s="76" t="s">
        <v>51</v>
      </c>
      <c r="D5" s="220" t="s">
        <v>262</v>
      </c>
      <c r="E5" s="76" t="s">
        <v>3</v>
      </c>
      <c r="F5" s="402" t="s">
        <v>57</v>
      </c>
      <c r="G5" s="220" t="s">
        <v>367</v>
      </c>
      <c r="H5" s="402" t="s">
        <v>58</v>
      </c>
      <c r="I5" s="402" t="s">
        <v>59</v>
      </c>
      <c r="J5" s="220" t="s">
        <v>51</v>
      </c>
      <c r="K5" s="217"/>
    </row>
    <row r="6" spans="1:11" ht="15" thickTop="1">
      <c r="A6" s="403"/>
      <c r="B6" s="187"/>
      <c r="C6" s="187"/>
      <c r="D6" s="221"/>
      <c r="E6" s="187"/>
      <c r="F6" s="404"/>
      <c r="G6" s="221"/>
      <c r="H6" s="404"/>
      <c r="I6" s="404"/>
      <c r="J6" s="221"/>
      <c r="K6" s="217"/>
    </row>
    <row r="7" spans="1:11" ht="17.25">
      <c r="A7" s="222">
        <v>1</v>
      </c>
      <c r="B7" s="223" t="s">
        <v>60</v>
      </c>
      <c r="C7" s="223" t="s">
        <v>508</v>
      </c>
      <c r="D7" s="214"/>
      <c r="E7" s="223" t="s">
        <v>46</v>
      </c>
      <c r="F7" s="405" t="s">
        <v>44</v>
      </c>
      <c r="G7" s="224">
        <v>18.25</v>
      </c>
      <c r="H7" s="225">
        <v>15.75</v>
      </c>
      <c r="I7" s="64">
        <f aca="true" t="shared" si="0" ref="I7:I70">ROUND(IF(G7=0,H7,IF(H7=0,G7,AVERAGE(G7,H7))),2)</f>
        <v>17</v>
      </c>
      <c r="J7" s="226" t="s">
        <v>263</v>
      </c>
      <c r="K7" s="210"/>
    </row>
    <row r="8" spans="1:11" ht="17.25">
      <c r="A8" s="227">
        <v>2</v>
      </c>
      <c r="B8" s="209" t="s">
        <v>60</v>
      </c>
      <c r="C8" s="209" t="s">
        <v>509</v>
      </c>
      <c r="D8" s="226"/>
      <c r="E8" s="209" t="s">
        <v>46</v>
      </c>
      <c r="F8" s="406" t="s">
        <v>44</v>
      </c>
      <c r="G8" s="228">
        <v>28.75</v>
      </c>
      <c r="H8" s="225">
        <v>25.7</v>
      </c>
      <c r="I8" s="64">
        <f t="shared" si="0"/>
        <v>27.23</v>
      </c>
      <c r="J8" s="226" t="s">
        <v>61</v>
      </c>
      <c r="K8" s="210"/>
    </row>
    <row r="9" spans="1:11" ht="17.25">
      <c r="A9" s="227">
        <v>3</v>
      </c>
      <c r="B9" s="406" t="s">
        <v>62</v>
      </c>
      <c r="C9" s="406" t="s">
        <v>63</v>
      </c>
      <c r="D9" s="226" t="s">
        <v>548</v>
      </c>
      <c r="E9" s="406" t="s">
        <v>46</v>
      </c>
      <c r="F9" s="209" t="s">
        <v>70</v>
      </c>
      <c r="G9" s="228">
        <v>226.8</v>
      </c>
      <c r="H9" s="225">
        <v>225</v>
      </c>
      <c r="I9" s="64">
        <f t="shared" si="0"/>
        <v>225.9</v>
      </c>
      <c r="J9" s="226" t="s">
        <v>382</v>
      </c>
      <c r="K9" s="210"/>
    </row>
    <row r="10" spans="1:11" ht="17.25">
      <c r="A10" s="227">
        <v>4</v>
      </c>
      <c r="B10" s="406" t="s">
        <v>64</v>
      </c>
      <c r="C10" s="406" t="s">
        <v>65</v>
      </c>
      <c r="D10" s="226"/>
      <c r="E10" s="406" t="s">
        <v>66</v>
      </c>
      <c r="F10" s="209"/>
      <c r="G10" s="228">
        <v>17.253000000000004</v>
      </c>
      <c r="H10" s="225">
        <v>14.4</v>
      </c>
      <c r="I10" s="64">
        <f t="shared" si="0"/>
        <v>15.83</v>
      </c>
      <c r="J10" s="226" t="s">
        <v>383</v>
      </c>
      <c r="K10" s="210"/>
    </row>
    <row r="11" spans="1:11" ht="17.25">
      <c r="A11" s="227">
        <v>5</v>
      </c>
      <c r="B11" s="406" t="s">
        <v>62</v>
      </c>
      <c r="C11" s="406" t="s">
        <v>67</v>
      </c>
      <c r="D11" s="226"/>
      <c r="E11" s="406" t="s">
        <v>49</v>
      </c>
      <c r="F11" s="209"/>
      <c r="G11" s="228">
        <v>12.5</v>
      </c>
      <c r="H11" s="225">
        <v>12.06</v>
      </c>
      <c r="I11" s="64">
        <f t="shared" si="0"/>
        <v>12.28</v>
      </c>
      <c r="J11" s="226" t="s">
        <v>384</v>
      </c>
      <c r="K11" s="210"/>
    </row>
    <row r="12" spans="1:11" ht="17.25">
      <c r="A12" s="227">
        <v>7</v>
      </c>
      <c r="B12" s="209" t="s">
        <v>68</v>
      </c>
      <c r="C12" s="209" t="s">
        <v>69</v>
      </c>
      <c r="D12" s="226"/>
      <c r="E12" s="209" t="s">
        <v>46</v>
      </c>
      <c r="F12" s="406" t="s">
        <v>70</v>
      </c>
      <c r="G12" s="229">
        <v>88</v>
      </c>
      <c r="H12" s="225">
        <v>85.5</v>
      </c>
      <c r="I12" s="64">
        <f t="shared" si="0"/>
        <v>86.75</v>
      </c>
      <c r="J12" s="226" t="s">
        <v>385</v>
      </c>
      <c r="K12" s="210"/>
    </row>
    <row r="13" spans="1:11" ht="17.25">
      <c r="A13" s="227">
        <v>8</v>
      </c>
      <c r="B13" s="209" t="s">
        <v>68</v>
      </c>
      <c r="C13" s="209" t="s">
        <v>71</v>
      </c>
      <c r="D13" s="226"/>
      <c r="E13" s="209" t="s">
        <v>46</v>
      </c>
      <c r="F13" s="406" t="s">
        <v>70</v>
      </c>
      <c r="G13" s="228">
        <v>49</v>
      </c>
      <c r="H13" s="225">
        <v>45</v>
      </c>
      <c r="I13" s="64">
        <f t="shared" si="0"/>
        <v>47</v>
      </c>
      <c r="J13" s="226" t="s">
        <v>386</v>
      </c>
      <c r="K13" s="210"/>
    </row>
    <row r="14" spans="1:11" ht="17.25">
      <c r="A14" s="227">
        <v>9</v>
      </c>
      <c r="B14" s="209" t="s">
        <v>68</v>
      </c>
      <c r="C14" s="209" t="s">
        <v>72</v>
      </c>
      <c r="D14" s="226" t="s">
        <v>307</v>
      </c>
      <c r="E14" s="209" t="s">
        <v>46</v>
      </c>
      <c r="F14" s="406" t="s">
        <v>70</v>
      </c>
      <c r="G14" s="228">
        <v>78</v>
      </c>
      <c r="H14" s="225">
        <v>67</v>
      </c>
      <c r="I14" s="64">
        <f t="shared" si="0"/>
        <v>72.5</v>
      </c>
      <c r="J14" s="226" t="s">
        <v>387</v>
      </c>
      <c r="K14" s="210"/>
    </row>
    <row r="15" spans="1:11" ht="17.25">
      <c r="A15" s="227">
        <v>10</v>
      </c>
      <c r="B15" s="209" t="s">
        <v>60</v>
      </c>
      <c r="C15" s="209" t="s">
        <v>274</v>
      </c>
      <c r="D15" s="226" t="s">
        <v>299</v>
      </c>
      <c r="E15" s="209" t="s">
        <v>46</v>
      </c>
      <c r="F15" s="209" t="s">
        <v>78</v>
      </c>
      <c r="G15" s="228">
        <v>17.1</v>
      </c>
      <c r="H15" s="225">
        <v>16.75</v>
      </c>
      <c r="I15" s="64">
        <f t="shared" si="0"/>
        <v>16.93</v>
      </c>
      <c r="J15" s="226" t="s">
        <v>388</v>
      </c>
      <c r="K15" s="210"/>
    </row>
    <row r="16" spans="1:11" ht="17.25">
      <c r="A16" s="227">
        <v>12</v>
      </c>
      <c r="B16" s="406" t="s">
        <v>62</v>
      </c>
      <c r="C16" s="406" t="s">
        <v>73</v>
      </c>
      <c r="D16" s="226"/>
      <c r="E16" s="406" t="s">
        <v>46</v>
      </c>
      <c r="F16" s="209"/>
      <c r="G16" s="228">
        <v>279</v>
      </c>
      <c r="H16" s="225">
        <v>261</v>
      </c>
      <c r="I16" s="64">
        <f t="shared" si="0"/>
        <v>270</v>
      </c>
      <c r="J16" s="226" t="s">
        <v>389</v>
      </c>
      <c r="K16" s="210"/>
    </row>
    <row r="17" spans="1:11" ht="17.25">
      <c r="A17" s="227">
        <v>13</v>
      </c>
      <c r="B17" s="209" t="s">
        <v>60</v>
      </c>
      <c r="C17" s="209" t="s">
        <v>74</v>
      </c>
      <c r="D17" s="226" t="s">
        <v>300</v>
      </c>
      <c r="E17" s="209" t="s">
        <v>46</v>
      </c>
      <c r="F17" s="406" t="s">
        <v>44</v>
      </c>
      <c r="G17" s="228">
        <v>75</v>
      </c>
      <c r="H17" s="225">
        <v>79.2</v>
      </c>
      <c r="I17" s="64">
        <f t="shared" si="0"/>
        <v>77.1</v>
      </c>
      <c r="J17" s="226" t="s">
        <v>390</v>
      </c>
      <c r="K17" s="210"/>
    </row>
    <row r="18" spans="1:11" ht="17.25">
      <c r="A18" s="227">
        <v>14</v>
      </c>
      <c r="B18" s="406" t="s">
        <v>75</v>
      </c>
      <c r="C18" s="406" t="s">
        <v>48</v>
      </c>
      <c r="D18" s="226"/>
      <c r="E18" s="406" t="s">
        <v>49</v>
      </c>
      <c r="F18" s="406"/>
      <c r="G18" s="228">
        <v>2.97</v>
      </c>
      <c r="H18" s="225">
        <v>2.7</v>
      </c>
      <c r="I18" s="64">
        <f t="shared" si="0"/>
        <v>2.84</v>
      </c>
      <c r="J18" s="226" t="s">
        <v>391</v>
      </c>
      <c r="K18" s="210"/>
    </row>
    <row r="19" spans="1:11" ht="17.25">
      <c r="A19" s="227">
        <v>15</v>
      </c>
      <c r="B19" s="406" t="s">
        <v>62</v>
      </c>
      <c r="C19" s="406" t="s">
        <v>76</v>
      </c>
      <c r="D19" s="226"/>
      <c r="E19" s="406" t="s">
        <v>49</v>
      </c>
      <c r="F19" s="406"/>
      <c r="G19" s="228">
        <v>65.7</v>
      </c>
      <c r="H19" s="225">
        <v>63</v>
      </c>
      <c r="I19" s="64">
        <f t="shared" si="0"/>
        <v>64.35</v>
      </c>
      <c r="J19" s="226" t="s">
        <v>392</v>
      </c>
      <c r="K19" s="210"/>
    </row>
    <row r="20" spans="1:11" ht="17.25">
      <c r="A20" s="227">
        <v>16</v>
      </c>
      <c r="B20" s="209" t="s">
        <v>62</v>
      </c>
      <c r="C20" s="209" t="s">
        <v>77</v>
      </c>
      <c r="D20" s="226"/>
      <c r="E20" s="209" t="s">
        <v>49</v>
      </c>
      <c r="F20" s="209" t="s">
        <v>49</v>
      </c>
      <c r="G20" s="229">
        <v>18</v>
      </c>
      <c r="H20" s="225">
        <v>15.201</v>
      </c>
      <c r="I20" s="64">
        <f t="shared" si="0"/>
        <v>16.6</v>
      </c>
      <c r="J20" s="226" t="s">
        <v>393</v>
      </c>
      <c r="K20" s="210"/>
    </row>
    <row r="21" spans="1:11" ht="17.25">
      <c r="A21" s="227">
        <v>17</v>
      </c>
      <c r="B21" s="209" t="s">
        <v>60</v>
      </c>
      <c r="C21" s="209" t="s">
        <v>516</v>
      </c>
      <c r="D21" s="226" t="s">
        <v>299</v>
      </c>
      <c r="E21" s="209" t="s">
        <v>46</v>
      </c>
      <c r="F21" s="406" t="s">
        <v>78</v>
      </c>
      <c r="G21" s="228">
        <v>43.55</v>
      </c>
      <c r="H21" s="225">
        <v>41.25</v>
      </c>
      <c r="I21" s="64">
        <f t="shared" si="0"/>
        <v>42.4</v>
      </c>
      <c r="J21" s="226" t="s">
        <v>517</v>
      </c>
      <c r="K21" s="210"/>
    </row>
    <row r="22" spans="1:11" ht="17.25">
      <c r="A22" s="227">
        <v>18</v>
      </c>
      <c r="B22" s="209" t="s">
        <v>68</v>
      </c>
      <c r="C22" s="209" t="s">
        <v>79</v>
      </c>
      <c r="D22" s="226"/>
      <c r="E22" s="209" t="s">
        <v>46</v>
      </c>
      <c r="F22" s="209" t="s">
        <v>70</v>
      </c>
      <c r="G22" s="228">
        <v>152</v>
      </c>
      <c r="H22" s="225">
        <v>125</v>
      </c>
      <c r="I22" s="64">
        <f t="shared" si="0"/>
        <v>138.5</v>
      </c>
      <c r="J22" s="230" t="s">
        <v>394</v>
      </c>
      <c r="K22" s="210"/>
    </row>
    <row r="23" spans="1:11" ht="17.25">
      <c r="A23" s="200">
        <v>19</v>
      </c>
      <c r="B23" s="188" t="s">
        <v>60</v>
      </c>
      <c r="C23" s="188" t="s">
        <v>80</v>
      </c>
      <c r="D23" s="189" t="s">
        <v>381</v>
      </c>
      <c r="E23" s="188" t="s">
        <v>46</v>
      </c>
      <c r="F23" s="407"/>
      <c r="G23" s="229">
        <v>0</v>
      </c>
      <c r="H23" s="225">
        <v>0</v>
      </c>
      <c r="I23" s="201">
        <f t="shared" si="0"/>
        <v>0</v>
      </c>
      <c r="J23" s="189" t="s">
        <v>395</v>
      </c>
      <c r="K23" s="210"/>
    </row>
    <row r="24" spans="1:11" ht="17.25">
      <c r="A24" s="227">
        <v>20</v>
      </c>
      <c r="B24" s="209" t="s">
        <v>60</v>
      </c>
      <c r="C24" s="209" t="s">
        <v>81</v>
      </c>
      <c r="D24" s="226"/>
      <c r="E24" s="209" t="s">
        <v>46</v>
      </c>
      <c r="F24" s="209"/>
      <c r="G24" s="229">
        <v>60</v>
      </c>
      <c r="H24" s="225">
        <v>62.1</v>
      </c>
      <c r="I24" s="64">
        <f t="shared" si="0"/>
        <v>61.05</v>
      </c>
      <c r="J24" s="226" t="s">
        <v>396</v>
      </c>
      <c r="K24" s="210"/>
    </row>
    <row r="25" spans="1:11" ht="17.25">
      <c r="A25" s="227">
        <v>21</v>
      </c>
      <c r="B25" s="406" t="s">
        <v>62</v>
      </c>
      <c r="C25" s="406" t="s">
        <v>82</v>
      </c>
      <c r="D25" s="226"/>
      <c r="E25" s="406" t="s">
        <v>49</v>
      </c>
      <c r="F25" s="406" t="s">
        <v>49</v>
      </c>
      <c r="G25" s="228">
        <v>2.52</v>
      </c>
      <c r="H25" s="225">
        <v>2.178</v>
      </c>
      <c r="I25" s="64">
        <f t="shared" si="0"/>
        <v>2.35</v>
      </c>
      <c r="J25" s="226" t="s">
        <v>397</v>
      </c>
      <c r="K25" s="210"/>
    </row>
    <row r="26" spans="1:11" ht="17.25">
      <c r="A26" s="227">
        <v>22</v>
      </c>
      <c r="B26" s="209" t="s">
        <v>62</v>
      </c>
      <c r="C26" s="209" t="s">
        <v>83</v>
      </c>
      <c r="D26" s="226"/>
      <c r="E26" s="209" t="s">
        <v>46</v>
      </c>
      <c r="F26" s="406" t="s">
        <v>44</v>
      </c>
      <c r="G26" s="228">
        <v>53.5</v>
      </c>
      <c r="H26" s="225">
        <v>54</v>
      </c>
      <c r="I26" s="64">
        <f t="shared" si="0"/>
        <v>53.75</v>
      </c>
      <c r="J26" s="226" t="s">
        <v>398</v>
      </c>
      <c r="K26" s="210"/>
    </row>
    <row r="27" spans="1:11" ht="17.25">
      <c r="A27" s="227">
        <v>23</v>
      </c>
      <c r="B27" s="209" t="s">
        <v>75</v>
      </c>
      <c r="C27" s="406" t="s">
        <v>84</v>
      </c>
      <c r="D27" s="226" t="s">
        <v>301</v>
      </c>
      <c r="E27" s="209" t="s">
        <v>49</v>
      </c>
      <c r="F27" s="209" t="s">
        <v>49</v>
      </c>
      <c r="G27" s="228">
        <v>6.75</v>
      </c>
      <c r="H27" s="225">
        <v>6.3</v>
      </c>
      <c r="I27" s="64">
        <f t="shared" si="0"/>
        <v>6.53</v>
      </c>
      <c r="J27" s="226" t="s">
        <v>399</v>
      </c>
      <c r="K27" s="210"/>
    </row>
    <row r="28" spans="1:11" ht="17.25">
      <c r="A28" s="227">
        <v>24</v>
      </c>
      <c r="B28" s="406" t="s">
        <v>60</v>
      </c>
      <c r="C28" s="406" t="s">
        <v>554</v>
      </c>
      <c r="D28" s="226" t="s">
        <v>300</v>
      </c>
      <c r="E28" s="406" t="s">
        <v>46</v>
      </c>
      <c r="F28" s="406" t="s">
        <v>70</v>
      </c>
      <c r="G28" s="224">
        <v>330</v>
      </c>
      <c r="H28" s="225">
        <v>250</v>
      </c>
      <c r="I28" s="64">
        <f t="shared" si="0"/>
        <v>290</v>
      </c>
      <c r="J28" s="226" t="s">
        <v>566</v>
      </c>
      <c r="K28" s="210"/>
    </row>
    <row r="29" spans="1:11" ht="17.25">
      <c r="A29" s="227">
        <v>25</v>
      </c>
      <c r="B29" s="209" t="s">
        <v>60</v>
      </c>
      <c r="C29" s="209" t="s">
        <v>518</v>
      </c>
      <c r="D29" s="226"/>
      <c r="E29" s="209" t="s">
        <v>49</v>
      </c>
      <c r="F29" s="406" t="s">
        <v>49</v>
      </c>
      <c r="G29" s="228">
        <v>28.8</v>
      </c>
      <c r="H29" s="225">
        <v>27</v>
      </c>
      <c r="I29" s="64">
        <f t="shared" si="0"/>
        <v>27.9</v>
      </c>
      <c r="J29" s="226" t="s">
        <v>519</v>
      </c>
      <c r="K29" s="210"/>
    </row>
    <row r="30" spans="1:11" ht="17.25">
      <c r="A30" s="227">
        <v>26</v>
      </c>
      <c r="B30" s="209" t="s">
        <v>62</v>
      </c>
      <c r="C30" s="209" t="s">
        <v>85</v>
      </c>
      <c r="D30" s="226"/>
      <c r="E30" s="209" t="s">
        <v>49</v>
      </c>
      <c r="F30" s="209" t="s">
        <v>49</v>
      </c>
      <c r="G30" s="228">
        <v>2.88</v>
      </c>
      <c r="H30" s="225">
        <v>2.9160000000000004</v>
      </c>
      <c r="I30" s="64">
        <f t="shared" si="0"/>
        <v>2.9</v>
      </c>
      <c r="J30" s="226" t="s">
        <v>86</v>
      </c>
      <c r="K30" s="210"/>
    </row>
    <row r="31" spans="1:11" ht="17.25">
      <c r="A31" s="227">
        <v>27</v>
      </c>
      <c r="B31" s="406" t="s">
        <v>75</v>
      </c>
      <c r="C31" s="406" t="s">
        <v>87</v>
      </c>
      <c r="D31" s="226"/>
      <c r="E31" s="406" t="s">
        <v>49</v>
      </c>
      <c r="F31" s="209"/>
      <c r="G31" s="228">
        <v>3.48</v>
      </c>
      <c r="H31" s="225">
        <v>2.385</v>
      </c>
      <c r="I31" s="64">
        <f t="shared" si="0"/>
        <v>2.93</v>
      </c>
      <c r="J31" s="226" t="s">
        <v>400</v>
      </c>
      <c r="K31" s="210"/>
    </row>
    <row r="32" spans="1:11" ht="17.25">
      <c r="A32" s="227">
        <v>28</v>
      </c>
      <c r="B32" s="209" t="s">
        <v>60</v>
      </c>
      <c r="C32" s="209" t="s">
        <v>88</v>
      </c>
      <c r="D32" s="226" t="s">
        <v>300</v>
      </c>
      <c r="E32" s="209" t="s">
        <v>70</v>
      </c>
      <c r="F32" s="406" t="s">
        <v>70</v>
      </c>
      <c r="G32" s="228">
        <v>12.15</v>
      </c>
      <c r="H32" s="225">
        <v>12.15</v>
      </c>
      <c r="I32" s="64">
        <f t="shared" si="0"/>
        <v>12.15</v>
      </c>
      <c r="J32" s="226" t="s">
        <v>401</v>
      </c>
      <c r="K32" s="210"/>
    </row>
    <row r="33" spans="1:11" ht="17.25">
      <c r="A33" s="227">
        <v>29</v>
      </c>
      <c r="B33" s="209" t="s">
        <v>60</v>
      </c>
      <c r="C33" s="209" t="s">
        <v>89</v>
      </c>
      <c r="D33" s="226" t="s">
        <v>302</v>
      </c>
      <c r="E33" s="209" t="s">
        <v>46</v>
      </c>
      <c r="F33" s="209" t="s">
        <v>70</v>
      </c>
      <c r="G33" s="228">
        <v>235</v>
      </c>
      <c r="H33" s="225">
        <v>129.15</v>
      </c>
      <c r="I33" s="64">
        <f t="shared" si="0"/>
        <v>182.08</v>
      </c>
      <c r="J33" s="226" t="s">
        <v>402</v>
      </c>
      <c r="K33" s="210"/>
    </row>
    <row r="34" spans="1:11" ht="17.25">
      <c r="A34" s="227">
        <v>30</v>
      </c>
      <c r="B34" s="209" t="s">
        <v>60</v>
      </c>
      <c r="C34" s="209" t="s">
        <v>90</v>
      </c>
      <c r="D34" s="226" t="s">
        <v>303</v>
      </c>
      <c r="E34" s="209" t="s">
        <v>46</v>
      </c>
      <c r="F34" s="209" t="s">
        <v>44</v>
      </c>
      <c r="G34" s="229">
        <v>140</v>
      </c>
      <c r="H34" s="225">
        <v>176</v>
      </c>
      <c r="I34" s="64">
        <f t="shared" si="0"/>
        <v>158</v>
      </c>
      <c r="J34" s="226" t="s">
        <v>403</v>
      </c>
      <c r="K34" s="210"/>
    </row>
    <row r="35" spans="1:11" ht="17.25">
      <c r="A35" s="227">
        <v>31</v>
      </c>
      <c r="B35" s="209" t="s">
        <v>60</v>
      </c>
      <c r="C35" s="209" t="s">
        <v>91</v>
      </c>
      <c r="D35" s="226" t="s">
        <v>299</v>
      </c>
      <c r="E35" s="209" t="s">
        <v>46</v>
      </c>
      <c r="F35" s="406" t="s">
        <v>78</v>
      </c>
      <c r="G35" s="228">
        <v>51</v>
      </c>
      <c r="H35" s="225">
        <v>47</v>
      </c>
      <c r="I35" s="64">
        <f t="shared" si="0"/>
        <v>49</v>
      </c>
      <c r="J35" s="226" t="s">
        <v>404</v>
      </c>
      <c r="K35" s="210"/>
    </row>
    <row r="36" spans="1:11" ht="17.25">
      <c r="A36" s="227">
        <v>32</v>
      </c>
      <c r="B36" s="406" t="s">
        <v>60</v>
      </c>
      <c r="C36" s="406" t="s">
        <v>92</v>
      </c>
      <c r="D36" s="226" t="s">
        <v>299</v>
      </c>
      <c r="E36" s="406" t="s">
        <v>49</v>
      </c>
      <c r="F36" s="406"/>
      <c r="G36" s="228">
        <v>8.1</v>
      </c>
      <c r="H36" s="225">
        <v>8.19</v>
      </c>
      <c r="I36" s="64">
        <f t="shared" si="0"/>
        <v>8.15</v>
      </c>
      <c r="J36" s="226" t="s">
        <v>404</v>
      </c>
      <c r="K36" s="210"/>
    </row>
    <row r="37" spans="1:11" ht="17.25">
      <c r="A37" s="227">
        <v>33</v>
      </c>
      <c r="B37" s="209" t="s">
        <v>68</v>
      </c>
      <c r="C37" s="209" t="s">
        <v>527</v>
      </c>
      <c r="D37" s="226" t="s">
        <v>300</v>
      </c>
      <c r="E37" s="209" t="s">
        <v>49</v>
      </c>
      <c r="F37" s="209" t="s">
        <v>49</v>
      </c>
      <c r="G37" s="228">
        <v>3.75</v>
      </c>
      <c r="H37" s="225">
        <v>4.5</v>
      </c>
      <c r="I37" s="64">
        <f t="shared" si="0"/>
        <v>4.13</v>
      </c>
      <c r="J37" s="226" t="s">
        <v>405</v>
      </c>
      <c r="K37" s="210"/>
    </row>
    <row r="38" spans="1:11" ht="17.25">
      <c r="A38" s="227">
        <v>34</v>
      </c>
      <c r="B38" s="209" t="s">
        <v>68</v>
      </c>
      <c r="C38" s="209" t="s">
        <v>93</v>
      </c>
      <c r="D38" s="226"/>
      <c r="E38" s="209" t="s">
        <v>46</v>
      </c>
      <c r="F38" s="209"/>
      <c r="G38" s="228">
        <v>70</v>
      </c>
      <c r="H38" s="225">
        <v>78.3</v>
      </c>
      <c r="I38" s="64">
        <f t="shared" si="0"/>
        <v>74.15</v>
      </c>
      <c r="J38" s="226" t="s">
        <v>406</v>
      </c>
      <c r="K38" s="210"/>
    </row>
    <row r="39" spans="1:11" ht="17.25">
      <c r="A39" s="281">
        <v>35</v>
      </c>
      <c r="B39" s="334" t="s">
        <v>60</v>
      </c>
      <c r="C39" s="334" t="s">
        <v>94</v>
      </c>
      <c r="D39" s="288"/>
      <c r="E39" s="334" t="s">
        <v>46</v>
      </c>
      <c r="F39" s="451" t="s">
        <v>44</v>
      </c>
      <c r="G39" s="228">
        <v>39</v>
      </c>
      <c r="H39" s="225">
        <v>45</v>
      </c>
      <c r="I39" s="64">
        <f t="shared" si="0"/>
        <v>42</v>
      </c>
      <c r="J39" s="288" t="s">
        <v>407</v>
      </c>
      <c r="K39" s="210"/>
    </row>
    <row r="40" spans="1:11" ht="17.25">
      <c r="A40" s="227">
        <v>36</v>
      </c>
      <c r="B40" s="334" t="s">
        <v>68</v>
      </c>
      <c r="C40" s="334" t="s">
        <v>95</v>
      </c>
      <c r="D40" s="288"/>
      <c r="E40" s="334" t="s">
        <v>46</v>
      </c>
      <c r="F40" s="451" t="s">
        <v>70</v>
      </c>
      <c r="G40" s="228">
        <v>34.2</v>
      </c>
      <c r="H40" s="225">
        <v>31.5</v>
      </c>
      <c r="I40" s="64">
        <f t="shared" si="0"/>
        <v>32.85</v>
      </c>
      <c r="J40" s="288" t="s">
        <v>408</v>
      </c>
      <c r="K40" s="210"/>
    </row>
    <row r="41" spans="1:11" ht="17.25">
      <c r="A41" s="281">
        <v>38</v>
      </c>
      <c r="B41" s="334" t="s">
        <v>60</v>
      </c>
      <c r="C41" s="334" t="s">
        <v>97</v>
      </c>
      <c r="D41" s="288"/>
      <c r="E41" s="334" t="s">
        <v>49</v>
      </c>
      <c r="F41" s="451" t="s">
        <v>49</v>
      </c>
      <c r="G41" s="228">
        <v>14</v>
      </c>
      <c r="H41" s="225">
        <v>14</v>
      </c>
      <c r="I41" s="64">
        <f t="shared" si="0"/>
        <v>14</v>
      </c>
      <c r="J41" s="288" t="s">
        <v>409</v>
      </c>
      <c r="K41" s="210"/>
    </row>
    <row r="42" spans="1:11" ht="17.25">
      <c r="A42" s="227">
        <v>39</v>
      </c>
      <c r="B42" s="209" t="s">
        <v>60</v>
      </c>
      <c r="C42" s="209" t="s">
        <v>98</v>
      </c>
      <c r="D42" s="226" t="s">
        <v>304</v>
      </c>
      <c r="E42" s="209" t="s">
        <v>46</v>
      </c>
      <c r="F42" s="209"/>
      <c r="G42" s="229">
        <v>30</v>
      </c>
      <c r="H42" s="225">
        <v>35</v>
      </c>
      <c r="I42" s="64">
        <f t="shared" si="0"/>
        <v>32.5</v>
      </c>
      <c r="J42" s="226" t="s">
        <v>410</v>
      </c>
      <c r="K42" s="210"/>
    </row>
    <row r="43" spans="1:11" ht="17.25">
      <c r="A43" s="227">
        <v>40</v>
      </c>
      <c r="B43" s="209" t="s">
        <v>60</v>
      </c>
      <c r="C43" s="209" t="s">
        <v>99</v>
      </c>
      <c r="D43" s="226" t="s">
        <v>304</v>
      </c>
      <c r="E43" s="209" t="s">
        <v>49</v>
      </c>
      <c r="F43" s="209"/>
      <c r="G43" s="228">
        <v>8.95</v>
      </c>
      <c r="H43" s="225">
        <v>8.1</v>
      </c>
      <c r="I43" s="64">
        <f t="shared" si="0"/>
        <v>8.53</v>
      </c>
      <c r="J43" s="226" t="s">
        <v>410</v>
      </c>
      <c r="K43" s="210"/>
    </row>
    <row r="44" spans="1:11" ht="17.25">
      <c r="A44" s="227">
        <v>41</v>
      </c>
      <c r="B44" s="209" t="s">
        <v>68</v>
      </c>
      <c r="C44" s="209" t="s">
        <v>45</v>
      </c>
      <c r="D44" s="226"/>
      <c r="E44" s="209" t="s">
        <v>46</v>
      </c>
      <c r="F44" s="209"/>
      <c r="G44" s="228">
        <v>32</v>
      </c>
      <c r="H44" s="225">
        <v>37.8</v>
      </c>
      <c r="I44" s="64">
        <f t="shared" si="0"/>
        <v>34.9</v>
      </c>
      <c r="J44" s="226" t="s">
        <v>411</v>
      </c>
      <c r="K44" s="210"/>
    </row>
    <row r="45" spans="1:11" ht="17.25">
      <c r="A45" s="227">
        <v>42</v>
      </c>
      <c r="B45" s="209" t="s">
        <v>68</v>
      </c>
      <c r="C45" s="209" t="s">
        <v>101</v>
      </c>
      <c r="D45" s="226"/>
      <c r="E45" s="209" t="s">
        <v>46</v>
      </c>
      <c r="F45" s="209"/>
      <c r="G45" s="228">
        <v>73.8</v>
      </c>
      <c r="H45" s="225">
        <v>72</v>
      </c>
      <c r="I45" s="64">
        <f t="shared" si="0"/>
        <v>72.9</v>
      </c>
      <c r="J45" s="226" t="s">
        <v>412</v>
      </c>
      <c r="K45" s="210"/>
    </row>
    <row r="46" spans="1:11" ht="17.25">
      <c r="A46" s="227">
        <v>44</v>
      </c>
      <c r="B46" s="209" t="s">
        <v>68</v>
      </c>
      <c r="C46" s="209" t="s">
        <v>102</v>
      </c>
      <c r="D46" s="226" t="s">
        <v>302</v>
      </c>
      <c r="E46" s="209" t="s">
        <v>49</v>
      </c>
      <c r="F46" s="406" t="s">
        <v>49</v>
      </c>
      <c r="G46" s="228">
        <v>9.9</v>
      </c>
      <c r="H46" s="225">
        <v>8.55</v>
      </c>
      <c r="I46" s="64">
        <f t="shared" si="0"/>
        <v>9.23</v>
      </c>
      <c r="J46" s="226" t="s">
        <v>413</v>
      </c>
      <c r="K46" s="210"/>
    </row>
    <row r="47" spans="1:11" ht="17.25">
      <c r="A47" s="227">
        <v>45</v>
      </c>
      <c r="B47" s="209" t="s">
        <v>68</v>
      </c>
      <c r="C47" s="209" t="s">
        <v>103</v>
      </c>
      <c r="D47" s="226" t="s">
        <v>302</v>
      </c>
      <c r="E47" s="209" t="s">
        <v>49</v>
      </c>
      <c r="F47" s="406" t="s">
        <v>44</v>
      </c>
      <c r="G47" s="228">
        <v>31.5</v>
      </c>
      <c r="H47" s="225">
        <v>29.7</v>
      </c>
      <c r="I47" s="64">
        <f t="shared" si="0"/>
        <v>30.6</v>
      </c>
      <c r="J47" s="226" t="s">
        <v>413</v>
      </c>
      <c r="K47" s="210"/>
    </row>
    <row r="48" spans="1:11" ht="17.25">
      <c r="A48" s="200">
        <v>46</v>
      </c>
      <c r="B48" s="188" t="s">
        <v>68</v>
      </c>
      <c r="C48" s="188" t="s">
        <v>104</v>
      </c>
      <c r="D48" s="189" t="s">
        <v>381</v>
      </c>
      <c r="E48" s="188" t="s">
        <v>49</v>
      </c>
      <c r="F48" s="407" t="s">
        <v>49</v>
      </c>
      <c r="G48" s="228">
        <v>3.49</v>
      </c>
      <c r="H48" s="225">
        <v>3.51</v>
      </c>
      <c r="I48" s="201">
        <f t="shared" si="0"/>
        <v>3.5</v>
      </c>
      <c r="J48" s="189" t="s">
        <v>414</v>
      </c>
      <c r="K48" s="210"/>
    </row>
    <row r="49" spans="1:11" ht="17.25">
      <c r="A49" s="227">
        <v>47</v>
      </c>
      <c r="B49" s="209" t="s">
        <v>105</v>
      </c>
      <c r="C49" s="209" t="s">
        <v>106</v>
      </c>
      <c r="D49" s="226"/>
      <c r="E49" s="209" t="s">
        <v>49</v>
      </c>
      <c r="F49" s="209"/>
      <c r="G49" s="228">
        <v>58.5</v>
      </c>
      <c r="H49" s="225">
        <v>49.5</v>
      </c>
      <c r="I49" s="64">
        <f t="shared" si="0"/>
        <v>54</v>
      </c>
      <c r="J49" s="226" t="s">
        <v>415</v>
      </c>
      <c r="K49" s="210"/>
    </row>
    <row r="50" spans="1:11" ht="17.25">
      <c r="A50" s="227">
        <v>48</v>
      </c>
      <c r="B50" s="209" t="s">
        <v>60</v>
      </c>
      <c r="C50" s="209" t="s">
        <v>107</v>
      </c>
      <c r="D50" s="226" t="s">
        <v>305</v>
      </c>
      <c r="E50" s="209" t="s">
        <v>46</v>
      </c>
      <c r="F50" s="209"/>
      <c r="G50" s="228">
        <v>6.066000000000001</v>
      </c>
      <c r="H50" s="225">
        <v>5.85</v>
      </c>
      <c r="I50" s="64">
        <f t="shared" si="0"/>
        <v>5.96</v>
      </c>
      <c r="J50" s="226" t="s">
        <v>923</v>
      </c>
      <c r="K50" s="210"/>
    </row>
    <row r="51" spans="1:11" ht="17.25">
      <c r="A51" s="227">
        <v>49</v>
      </c>
      <c r="B51" s="209" t="s">
        <v>60</v>
      </c>
      <c r="C51" s="209" t="s">
        <v>924</v>
      </c>
      <c r="D51" s="226" t="s">
        <v>306</v>
      </c>
      <c r="E51" s="209" t="s">
        <v>46</v>
      </c>
      <c r="F51" s="406" t="s">
        <v>70</v>
      </c>
      <c r="G51" s="229">
        <v>112</v>
      </c>
      <c r="H51" s="225">
        <v>90</v>
      </c>
      <c r="I51" s="64">
        <f t="shared" si="0"/>
        <v>101</v>
      </c>
      <c r="J51" s="226" t="s">
        <v>943</v>
      </c>
      <c r="K51" s="210"/>
    </row>
    <row r="52" spans="1:11" ht="17.25">
      <c r="A52" s="227">
        <v>50</v>
      </c>
      <c r="B52" s="406" t="s">
        <v>60</v>
      </c>
      <c r="C52" s="406" t="s">
        <v>376</v>
      </c>
      <c r="D52" s="226" t="s">
        <v>306</v>
      </c>
      <c r="E52" s="406" t="s">
        <v>46</v>
      </c>
      <c r="F52" s="406" t="s">
        <v>70</v>
      </c>
      <c r="G52" s="229">
        <v>90</v>
      </c>
      <c r="H52" s="225">
        <v>85</v>
      </c>
      <c r="I52" s="64">
        <f t="shared" si="0"/>
        <v>87.5</v>
      </c>
      <c r="J52" s="226" t="s">
        <v>944</v>
      </c>
      <c r="K52" s="210"/>
    </row>
    <row r="53" spans="1:11" ht="17.25">
      <c r="A53" s="227">
        <v>54</v>
      </c>
      <c r="B53" s="209" t="s">
        <v>60</v>
      </c>
      <c r="C53" s="209" t="s">
        <v>108</v>
      </c>
      <c r="D53" s="226"/>
      <c r="E53" s="209" t="s">
        <v>46</v>
      </c>
      <c r="F53" s="209"/>
      <c r="G53" s="228">
        <v>25</v>
      </c>
      <c r="H53" s="225">
        <v>32.4</v>
      </c>
      <c r="I53" s="64">
        <f t="shared" si="0"/>
        <v>28.7</v>
      </c>
      <c r="J53" s="226" t="s">
        <v>925</v>
      </c>
      <c r="K53" s="210"/>
    </row>
    <row r="54" spans="1:11" ht="17.25">
      <c r="A54" s="227">
        <v>55</v>
      </c>
      <c r="B54" s="209" t="s">
        <v>105</v>
      </c>
      <c r="C54" s="209" t="s">
        <v>109</v>
      </c>
      <c r="D54" s="226"/>
      <c r="E54" s="209" t="s">
        <v>46</v>
      </c>
      <c r="F54" s="406" t="s">
        <v>44</v>
      </c>
      <c r="G54" s="228">
        <v>87</v>
      </c>
      <c r="H54" s="225">
        <v>55</v>
      </c>
      <c r="I54" s="64">
        <f t="shared" si="0"/>
        <v>71</v>
      </c>
      <c r="J54" s="226" t="s">
        <v>416</v>
      </c>
      <c r="K54" s="210"/>
    </row>
    <row r="55" spans="1:11" ht="17.25">
      <c r="A55" s="281">
        <v>56</v>
      </c>
      <c r="B55" s="408" t="s">
        <v>62</v>
      </c>
      <c r="C55" s="408" t="s">
        <v>110</v>
      </c>
      <c r="D55" s="283" t="s">
        <v>381</v>
      </c>
      <c r="E55" s="408" t="s">
        <v>46</v>
      </c>
      <c r="F55" s="408" t="s">
        <v>70</v>
      </c>
      <c r="G55" s="228">
        <v>150</v>
      </c>
      <c r="H55" s="225">
        <v>130</v>
      </c>
      <c r="I55" s="64">
        <f t="shared" si="0"/>
        <v>140</v>
      </c>
      <c r="J55" s="283" t="s">
        <v>417</v>
      </c>
      <c r="K55" s="210"/>
    </row>
    <row r="56" spans="1:11" ht="17.25">
      <c r="A56" s="281">
        <v>57</v>
      </c>
      <c r="B56" s="282" t="s">
        <v>68</v>
      </c>
      <c r="C56" s="282" t="s">
        <v>111</v>
      </c>
      <c r="D56" s="283" t="s">
        <v>381</v>
      </c>
      <c r="E56" s="282" t="s">
        <v>46</v>
      </c>
      <c r="F56" s="282"/>
      <c r="G56" s="507">
        <v>67.5</v>
      </c>
      <c r="H56" s="284">
        <v>63</v>
      </c>
      <c r="I56" s="284">
        <f t="shared" si="0"/>
        <v>65.25</v>
      </c>
      <c r="J56" s="283" t="s">
        <v>418</v>
      </c>
      <c r="K56" s="210"/>
    </row>
    <row r="57" spans="1:11" ht="17.25">
      <c r="A57" s="227">
        <v>58</v>
      </c>
      <c r="B57" s="209" t="s">
        <v>60</v>
      </c>
      <c r="C57" s="209" t="s">
        <v>112</v>
      </c>
      <c r="D57" s="226" t="s">
        <v>548</v>
      </c>
      <c r="E57" s="209" t="s">
        <v>46</v>
      </c>
      <c r="F57" s="209"/>
      <c r="G57" s="228">
        <v>134.1</v>
      </c>
      <c r="H57" s="225">
        <v>135</v>
      </c>
      <c r="I57" s="64">
        <f t="shared" si="0"/>
        <v>134.55</v>
      </c>
      <c r="J57" s="226" t="s">
        <v>419</v>
      </c>
      <c r="K57" s="210"/>
    </row>
    <row r="58" spans="1:11" ht="17.25">
      <c r="A58" s="227">
        <v>59</v>
      </c>
      <c r="B58" s="209" t="s">
        <v>60</v>
      </c>
      <c r="C58" s="209" t="s">
        <v>275</v>
      </c>
      <c r="D58" s="226" t="s">
        <v>548</v>
      </c>
      <c r="E58" s="209" t="s">
        <v>46</v>
      </c>
      <c r="F58" s="406" t="s">
        <v>44</v>
      </c>
      <c r="G58" s="228">
        <v>18.9</v>
      </c>
      <c r="H58" s="225">
        <v>25.6</v>
      </c>
      <c r="I58" s="64">
        <f t="shared" si="0"/>
        <v>22.25</v>
      </c>
      <c r="J58" s="226" t="s">
        <v>352</v>
      </c>
      <c r="K58" s="210"/>
    </row>
    <row r="59" spans="1:11" ht="17.25">
      <c r="A59" s="222">
        <v>60</v>
      </c>
      <c r="B59" s="405" t="s">
        <v>60</v>
      </c>
      <c r="C59" s="405" t="s">
        <v>974</v>
      </c>
      <c r="D59" s="214" t="s">
        <v>307</v>
      </c>
      <c r="E59" s="405" t="s">
        <v>70</v>
      </c>
      <c r="F59" s="405" t="s">
        <v>70</v>
      </c>
      <c r="G59" s="224">
        <v>15</v>
      </c>
      <c r="H59" s="225">
        <v>14</v>
      </c>
      <c r="I59" s="64">
        <f t="shared" si="0"/>
        <v>14.5</v>
      </c>
      <c r="J59" s="226" t="s">
        <v>561</v>
      </c>
      <c r="K59" s="210"/>
    </row>
    <row r="60" spans="1:11" ht="17.25">
      <c r="A60" s="227">
        <v>61</v>
      </c>
      <c r="B60" s="406" t="s">
        <v>60</v>
      </c>
      <c r="C60" s="406" t="s">
        <v>113</v>
      </c>
      <c r="D60" s="226" t="s">
        <v>308</v>
      </c>
      <c r="E60" s="406" t="s">
        <v>46</v>
      </c>
      <c r="F60" s="406"/>
      <c r="G60" s="228">
        <v>67.5</v>
      </c>
      <c r="H60" s="225">
        <v>65.7</v>
      </c>
      <c r="I60" s="64">
        <f t="shared" si="0"/>
        <v>66.6</v>
      </c>
      <c r="J60" s="226" t="s">
        <v>420</v>
      </c>
      <c r="K60" s="210"/>
    </row>
    <row r="61" spans="1:11" ht="17.25">
      <c r="A61" s="227">
        <v>62</v>
      </c>
      <c r="B61" s="209" t="s">
        <v>62</v>
      </c>
      <c r="C61" s="406" t="s">
        <v>114</v>
      </c>
      <c r="D61" s="226"/>
      <c r="E61" s="209" t="s">
        <v>49</v>
      </c>
      <c r="F61" s="406" t="s">
        <v>49</v>
      </c>
      <c r="G61" s="228">
        <v>100.8</v>
      </c>
      <c r="H61" s="225">
        <v>90</v>
      </c>
      <c r="I61" s="64">
        <f t="shared" si="0"/>
        <v>95.4</v>
      </c>
      <c r="J61" s="226" t="s">
        <v>421</v>
      </c>
      <c r="K61" s="210"/>
    </row>
    <row r="62" spans="1:11" ht="17.25">
      <c r="A62" s="227">
        <v>63</v>
      </c>
      <c r="B62" s="209" t="s">
        <v>68</v>
      </c>
      <c r="C62" s="209" t="s">
        <v>115</v>
      </c>
      <c r="D62" s="226"/>
      <c r="E62" s="209" t="s">
        <v>46</v>
      </c>
      <c r="F62" s="406" t="s">
        <v>70</v>
      </c>
      <c r="G62" s="228">
        <v>317</v>
      </c>
      <c r="H62" s="225">
        <v>356</v>
      </c>
      <c r="I62" s="64">
        <f t="shared" si="0"/>
        <v>336.5</v>
      </c>
      <c r="J62" s="226" t="s">
        <v>353</v>
      </c>
      <c r="K62" s="210"/>
    </row>
    <row r="63" spans="1:11" ht="17.25">
      <c r="A63" s="281">
        <v>64</v>
      </c>
      <c r="B63" s="334" t="s">
        <v>62</v>
      </c>
      <c r="C63" s="334" t="s">
        <v>116</v>
      </c>
      <c r="D63" s="288" t="s">
        <v>307</v>
      </c>
      <c r="E63" s="334" t="s">
        <v>49</v>
      </c>
      <c r="F63" s="451" t="s">
        <v>49</v>
      </c>
      <c r="G63" s="228">
        <v>9.4</v>
      </c>
      <c r="H63" s="225">
        <v>7.5</v>
      </c>
      <c r="I63" s="64">
        <f t="shared" si="0"/>
        <v>8.45</v>
      </c>
      <c r="J63" s="288" t="s">
        <v>422</v>
      </c>
      <c r="K63" s="210"/>
    </row>
    <row r="64" spans="1:11" ht="17.25">
      <c r="A64" s="227">
        <v>65</v>
      </c>
      <c r="B64" s="334" t="s">
        <v>68</v>
      </c>
      <c r="C64" s="334" t="s">
        <v>562</v>
      </c>
      <c r="D64" s="288" t="s">
        <v>307</v>
      </c>
      <c r="E64" s="334" t="s">
        <v>46</v>
      </c>
      <c r="F64" s="451" t="s">
        <v>78</v>
      </c>
      <c r="G64" s="228">
        <v>50.4</v>
      </c>
      <c r="H64" s="225">
        <v>49.5</v>
      </c>
      <c r="I64" s="64">
        <f t="shared" si="0"/>
        <v>49.95</v>
      </c>
      <c r="J64" s="226" t="s">
        <v>423</v>
      </c>
      <c r="K64" s="210"/>
    </row>
    <row r="65" spans="1:11" ht="17.25">
      <c r="A65" s="281">
        <v>66</v>
      </c>
      <c r="B65" s="334" t="s">
        <v>68</v>
      </c>
      <c r="C65" s="334" t="s">
        <v>117</v>
      </c>
      <c r="D65" s="288" t="s">
        <v>539</v>
      </c>
      <c r="E65" s="334" t="s">
        <v>46</v>
      </c>
      <c r="F65" s="451" t="s">
        <v>46</v>
      </c>
      <c r="G65" s="228">
        <v>70</v>
      </c>
      <c r="H65" s="225">
        <v>71</v>
      </c>
      <c r="I65" s="64">
        <f t="shared" si="0"/>
        <v>70.5</v>
      </c>
      <c r="J65" s="288" t="s">
        <v>424</v>
      </c>
      <c r="K65" s="210"/>
    </row>
    <row r="66" spans="1:11" ht="17.25">
      <c r="A66" s="227">
        <v>67</v>
      </c>
      <c r="B66" s="209" t="s">
        <v>60</v>
      </c>
      <c r="C66" s="209" t="s">
        <v>118</v>
      </c>
      <c r="D66" s="226" t="s">
        <v>309</v>
      </c>
      <c r="E66" s="209" t="s">
        <v>46</v>
      </c>
      <c r="F66" s="209"/>
      <c r="G66" s="228">
        <v>23.4</v>
      </c>
      <c r="H66" s="225">
        <v>24.3</v>
      </c>
      <c r="I66" s="64">
        <f t="shared" si="0"/>
        <v>23.85</v>
      </c>
      <c r="J66" s="226" t="s">
        <v>425</v>
      </c>
      <c r="K66" s="210"/>
    </row>
    <row r="67" spans="1:11" ht="17.25">
      <c r="A67" s="281">
        <v>69</v>
      </c>
      <c r="B67" s="282" t="s">
        <v>60</v>
      </c>
      <c r="C67" s="282" t="s">
        <v>119</v>
      </c>
      <c r="D67" s="283" t="s">
        <v>381</v>
      </c>
      <c r="E67" s="282" t="s">
        <v>49</v>
      </c>
      <c r="F67" s="282" t="s">
        <v>49</v>
      </c>
      <c r="G67" s="228">
        <v>13</v>
      </c>
      <c r="H67" s="225">
        <v>17.1</v>
      </c>
      <c r="I67" s="284">
        <f t="shared" si="0"/>
        <v>15.05</v>
      </c>
      <c r="J67" s="283" t="s">
        <v>426</v>
      </c>
      <c r="K67" s="210"/>
    </row>
    <row r="68" spans="1:11" ht="17.25">
      <c r="A68" s="227">
        <v>70</v>
      </c>
      <c r="B68" s="209" t="s">
        <v>60</v>
      </c>
      <c r="C68" s="209" t="s">
        <v>120</v>
      </c>
      <c r="D68" s="226" t="s">
        <v>307</v>
      </c>
      <c r="E68" s="209" t="s">
        <v>49</v>
      </c>
      <c r="F68" s="209" t="s">
        <v>49</v>
      </c>
      <c r="G68" s="229">
        <v>16</v>
      </c>
      <c r="H68" s="225">
        <v>15</v>
      </c>
      <c r="I68" s="64">
        <f t="shared" si="0"/>
        <v>15.5</v>
      </c>
      <c r="J68" s="226" t="s">
        <v>427</v>
      </c>
      <c r="K68" s="210"/>
    </row>
    <row r="69" spans="1:11" ht="17.25">
      <c r="A69" s="227">
        <v>72</v>
      </c>
      <c r="B69" s="209" t="s">
        <v>68</v>
      </c>
      <c r="C69" s="209" t="s">
        <v>121</v>
      </c>
      <c r="D69" s="226" t="s">
        <v>310</v>
      </c>
      <c r="E69" s="209" t="s">
        <v>49</v>
      </c>
      <c r="F69" s="406" t="s">
        <v>49</v>
      </c>
      <c r="G69" s="228">
        <v>2.4</v>
      </c>
      <c r="H69" s="225">
        <v>2.65</v>
      </c>
      <c r="I69" s="64">
        <f t="shared" si="0"/>
        <v>2.53</v>
      </c>
      <c r="J69" s="226" t="s">
        <v>428</v>
      </c>
      <c r="K69" s="210"/>
    </row>
    <row r="70" spans="1:11" ht="17.25">
      <c r="A70" s="227">
        <v>73</v>
      </c>
      <c r="B70" s="209" t="s">
        <v>68</v>
      </c>
      <c r="C70" s="209" t="s">
        <v>255</v>
      </c>
      <c r="D70" s="226" t="s">
        <v>310</v>
      </c>
      <c r="E70" s="406" t="s">
        <v>46</v>
      </c>
      <c r="F70" s="406" t="s">
        <v>78</v>
      </c>
      <c r="G70" s="228">
        <v>50</v>
      </c>
      <c r="H70" s="225">
        <v>54</v>
      </c>
      <c r="I70" s="64">
        <f t="shared" si="0"/>
        <v>52</v>
      </c>
      <c r="J70" s="226" t="s">
        <v>428</v>
      </c>
      <c r="K70" s="210"/>
    </row>
    <row r="71" spans="1:11" ht="17.25">
      <c r="A71" s="227">
        <v>74</v>
      </c>
      <c r="B71" s="209" t="s">
        <v>68</v>
      </c>
      <c r="C71" s="209" t="s">
        <v>122</v>
      </c>
      <c r="D71" s="226"/>
      <c r="E71" s="209" t="s">
        <v>46</v>
      </c>
      <c r="F71" s="406" t="s">
        <v>46</v>
      </c>
      <c r="G71" s="228">
        <v>39</v>
      </c>
      <c r="H71" s="225">
        <v>35</v>
      </c>
      <c r="I71" s="64">
        <f aca="true" t="shared" si="1" ref="I71:I134">ROUND(IF(G71=0,H71,IF(H71=0,G71,AVERAGE(G71,H71))),2)</f>
        <v>37</v>
      </c>
      <c r="J71" s="226" t="s">
        <v>329</v>
      </c>
      <c r="K71" s="210"/>
    </row>
    <row r="72" spans="1:11" ht="17.25">
      <c r="A72" s="281">
        <v>75</v>
      </c>
      <c r="B72" s="282" t="s">
        <v>62</v>
      </c>
      <c r="C72" s="282" t="s">
        <v>123</v>
      </c>
      <c r="D72" s="283"/>
      <c r="E72" s="282" t="s">
        <v>49</v>
      </c>
      <c r="F72" s="282" t="s">
        <v>49</v>
      </c>
      <c r="G72" s="228">
        <v>7</v>
      </c>
      <c r="H72" s="225">
        <v>6.15</v>
      </c>
      <c r="I72" s="64">
        <f t="shared" si="1"/>
        <v>6.58</v>
      </c>
      <c r="J72" s="288" t="s">
        <v>124</v>
      </c>
      <c r="K72" s="210"/>
    </row>
    <row r="73" spans="1:11" ht="17.25">
      <c r="A73" s="227">
        <v>76</v>
      </c>
      <c r="B73" s="209" t="s">
        <v>62</v>
      </c>
      <c r="C73" s="209" t="s">
        <v>125</v>
      </c>
      <c r="D73" s="226"/>
      <c r="E73" s="209" t="s">
        <v>46</v>
      </c>
      <c r="F73" s="209"/>
      <c r="G73" s="228">
        <v>14.4</v>
      </c>
      <c r="H73" s="225">
        <v>15.3</v>
      </c>
      <c r="I73" s="64">
        <f t="shared" si="1"/>
        <v>14.85</v>
      </c>
      <c r="J73" s="288" t="s">
        <v>429</v>
      </c>
      <c r="K73" s="210"/>
    </row>
    <row r="74" spans="1:11" ht="17.25">
      <c r="A74" s="227">
        <v>77</v>
      </c>
      <c r="B74" s="209" t="s">
        <v>62</v>
      </c>
      <c r="C74" s="209" t="s">
        <v>126</v>
      </c>
      <c r="D74" s="226" t="s">
        <v>307</v>
      </c>
      <c r="E74" s="209" t="s">
        <v>49</v>
      </c>
      <c r="F74" s="406" t="s">
        <v>49</v>
      </c>
      <c r="G74" s="228">
        <v>5</v>
      </c>
      <c r="H74" s="225">
        <v>4.5</v>
      </c>
      <c r="I74" s="64">
        <f t="shared" si="1"/>
        <v>4.75</v>
      </c>
      <c r="J74" s="288" t="s">
        <v>430</v>
      </c>
      <c r="K74" s="210"/>
    </row>
    <row r="75" spans="1:11" ht="17.25">
      <c r="A75" s="281">
        <v>80</v>
      </c>
      <c r="B75" s="334" t="s">
        <v>68</v>
      </c>
      <c r="C75" s="334" t="s">
        <v>127</v>
      </c>
      <c r="D75" s="288"/>
      <c r="E75" s="334" t="s">
        <v>46</v>
      </c>
      <c r="F75" s="334" t="s">
        <v>44</v>
      </c>
      <c r="G75" s="228">
        <v>41.76</v>
      </c>
      <c r="H75" s="225">
        <v>45</v>
      </c>
      <c r="I75" s="64">
        <f t="shared" si="1"/>
        <v>43.38</v>
      </c>
      <c r="J75" s="288" t="s">
        <v>330</v>
      </c>
      <c r="K75" s="210"/>
    </row>
    <row r="76" spans="1:11" ht="17.25">
      <c r="A76" s="227">
        <v>81</v>
      </c>
      <c r="B76" s="209" t="s">
        <v>128</v>
      </c>
      <c r="C76" s="209" t="s">
        <v>331</v>
      </c>
      <c r="D76" s="226" t="s">
        <v>539</v>
      </c>
      <c r="E76" s="209" t="s">
        <v>49</v>
      </c>
      <c r="F76" s="209" t="s">
        <v>49</v>
      </c>
      <c r="G76" s="228">
        <v>2.07</v>
      </c>
      <c r="H76" s="225">
        <v>2.115</v>
      </c>
      <c r="I76" s="64">
        <f t="shared" si="1"/>
        <v>2.09</v>
      </c>
      <c r="J76" s="288" t="s">
        <v>431</v>
      </c>
      <c r="K76" s="210"/>
    </row>
    <row r="77" spans="1:11" ht="17.25">
      <c r="A77" s="227">
        <v>82</v>
      </c>
      <c r="B77" s="209" t="s">
        <v>68</v>
      </c>
      <c r="C77" s="209" t="s">
        <v>129</v>
      </c>
      <c r="D77" s="226"/>
      <c r="E77" s="209" t="s">
        <v>46</v>
      </c>
      <c r="F77" s="406" t="s">
        <v>78</v>
      </c>
      <c r="G77" s="228">
        <v>61.2</v>
      </c>
      <c r="H77" s="225">
        <v>59.4</v>
      </c>
      <c r="I77" s="64">
        <f t="shared" si="1"/>
        <v>60.3</v>
      </c>
      <c r="J77" s="288" t="s">
        <v>432</v>
      </c>
      <c r="K77" s="210"/>
    </row>
    <row r="78" spans="1:11" ht="17.25">
      <c r="A78" s="227">
        <v>83</v>
      </c>
      <c r="B78" s="209" t="s">
        <v>60</v>
      </c>
      <c r="C78" s="209" t="s">
        <v>510</v>
      </c>
      <c r="D78" s="226"/>
      <c r="E78" s="209" t="s">
        <v>46</v>
      </c>
      <c r="F78" s="406" t="s">
        <v>46</v>
      </c>
      <c r="G78" s="228">
        <v>30.25</v>
      </c>
      <c r="H78" s="225">
        <v>27.6</v>
      </c>
      <c r="I78" s="64">
        <f t="shared" si="1"/>
        <v>28.93</v>
      </c>
      <c r="J78" s="226" t="s">
        <v>926</v>
      </c>
      <c r="K78" s="210"/>
    </row>
    <row r="79" spans="1:11" ht="17.25">
      <c r="A79" s="227">
        <v>84</v>
      </c>
      <c r="B79" s="406" t="s">
        <v>64</v>
      </c>
      <c r="C79" s="406" t="s">
        <v>130</v>
      </c>
      <c r="D79" s="226"/>
      <c r="E79" s="406" t="s">
        <v>49</v>
      </c>
      <c r="F79" s="406"/>
      <c r="G79" s="228">
        <v>17.2</v>
      </c>
      <c r="H79" s="225">
        <v>18.9</v>
      </c>
      <c r="I79" s="64">
        <f t="shared" si="1"/>
        <v>18.05</v>
      </c>
      <c r="J79" s="226" t="s">
        <v>433</v>
      </c>
      <c r="K79" s="210"/>
    </row>
    <row r="80" spans="1:11" ht="17.25">
      <c r="A80" s="227">
        <v>85</v>
      </c>
      <c r="B80" s="209" t="s">
        <v>128</v>
      </c>
      <c r="C80" s="209" t="s">
        <v>131</v>
      </c>
      <c r="D80" s="226" t="s">
        <v>539</v>
      </c>
      <c r="E80" s="209" t="s">
        <v>46</v>
      </c>
      <c r="F80" s="406" t="s">
        <v>46</v>
      </c>
      <c r="G80" s="228">
        <v>92.7</v>
      </c>
      <c r="H80" s="225">
        <v>94.5</v>
      </c>
      <c r="I80" s="64">
        <f t="shared" si="1"/>
        <v>93.6</v>
      </c>
      <c r="J80" s="226" t="s">
        <v>434</v>
      </c>
      <c r="K80" s="210"/>
    </row>
    <row r="81" spans="1:11" ht="17.25">
      <c r="A81" s="227">
        <v>86</v>
      </c>
      <c r="B81" s="209" t="s">
        <v>128</v>
      </c>
      <c r="C81" s="209" t="s">
        <v>132</v>
      </c>
      <c r="D81" s="226"/>
      <c r="E81" s="209" t="s">
        <v>49</v>
      </c>
      <c r="F81" s="209"/>
      <c r="G81" s="229">
        <v>3.6</v>
      </c>
      <c r="H81" s="225">
        <v>2.88</v>
      </c>
      <c r="I81" s="64">
        <f t="shared" si="1"/>
        <v>3.24</v>
      </c>
      <c r="J81" s="226" t="s">
        <v>434</v>
      </c>
      <c r="K81" s="210"/>
    </row>
    <row r="82" spans="1:11" ht="17.25">
      <c r="A82" s="227">
        <v>87</v>
      </c>
      <c r="B82" s="406" t="s">
        <v>62</v>
      </c>
      <c r="C82" s="406" t="s">
        <v>133</v>
      </c>
      <c r="D82" s="226"/>
      <c r="E82" s="406" t="s">
        <v>70</v>
      </c>
      <c r="F82" s="209"/>
      <c r="G82" s="228">
        <v>62.1</v>
      </c>
      <c r="H82" s="225">
        <v>55</v>
      </c>
      <c r="I82" s="64">
        <f t="shared" si="1"/>
        <v>58.55</v>
      </c>
      <c r="J82" s="226" t="s">
        <v>435</v>
      </c>
      <c r="K82" s="210"/>
    </row>
    <row r="83" spans="1:11" ht="17.25">
      <c r="A83" s="227">
        <v>89</v>
      </c>
      <c r="B83" s="209" t="s">
        <v>273</v>
      </c>
      <c r="C83" s="209" t="s">
        <v>134</v>
      </c>
      <c r="D83" s="226"/>
      <c r="E83" s="209" t="s">
        <v>46</v>
      </c>
      <c r="F83" s="406" t="s">
        <v>46</v>
      </c>
      <c r="G83" s="228">
        <v>20.3</v>
      </c>
      <c r="H83" s="225">
        <v>22</v>
      </c>
      <c r="I83" s="64">
        <f t="shared" si="1"/>
        <v>21.15</v>
      </c>
      <c r="J83" s="226" t="s">
        <v>436</v>
      </c>
      <c r="K83" s="210"/>
    </row>
    <row r="84" spans="1:11" ht="17.25">
      <c r="A84" s="227">
        <v>90</v>
      </c>
      <c r="B84" s="406" t="s">
        <v>62</v>
      </c>
      <c r="C84" s="406" t="s">
        <v>135</v>
      </c>
      <c r="D84" s="226"/>
      <c r="E84" s="406" t="s">
        <v>46</v>
      </c>
      <c r="F84" s="406" t="s">
        <v>70</v>
      </c>
      <c r="G84" s="228">
        <v>82.8</v>
      </c>
      <c r="H84" s="225">
        <v>81</v>
      </c>
      <c r="I84" s="64">
        <f t="shared" si="1"/>
        <v>81.9</v>
      </c>
      <c r="J84" s="226" t="s">
        <v>437</v>
      </c>
      <c r="K84" s="210"/>
    </row>
    <row r="85" spans="1:11" ht="17.25">
      <c r="A85" s="227">
        <v>91</v>
      </c>
      <c r="B85" s="209" t="s">
        <v>68</v>
      </c>
      <c r="C85" s="209" t="s">
        <v>975</v>
      </c>
      <c r="D85" s="226"/>
      <c r="E85" s="209" t="s">
        <v>49</v>
      </c>
      <c r="F85" s="406" t="s">
        <v>70</v>
      </c>
      <c r="G85" s="228">
        <v>9</v>
      </c>
      <c r="H85" s="225">
        <v>7.5</v>
      </c>
      <c r="I85" s="64">
        <f t="shared" si="1"/>
        <v>8.25</v>
      </c>
      <c r="J85" s="226" t="s">
        <v>438</v>
      </c>
      <c r="K85" s="210"/>
    </row>
    <row r="86" spans="1:11" ht="17.25">
      <c r="A86" s="200">
        <v>93</v>
      </c>
      <c r="B86" s="188" t="s">
        <v>68</v>
      </c>
      <c r="C86" s="188" t="s">
        <v>136</v>
      </c>
      <c r="D86" s="189" t="s">
        <v>381</v>
      </c>
      <c r="E86" s="188" t="s">
        <v>46</v>
      </c>
      <c r="F86" s="188"/>
      <c r="G86" s="229">
        <v>0</v>
      </c>
      <c r="H86" s="225">
        <v>0</v>
      </c>
      <c r="I86" s="201">
        <f t="shared" si="1"/>
        <v>0</v>
      </c>
      <c r="J86" s="189" t="s">
        <v>137</v>
      </c>
      <c r="K86" s="210"/>
    </row>
    <row r="87" spans="1:11" ht="17.25">
      <c r="A87" s="227">
        <v>95</v>
      </c>
      <c r="B87" s="209" t="s">
        <v>138</v>
      </c>
      <c r="C87" s="209" t="s">
        <v>139</v>
      </c>
      <c r="D87" s="226"/>
      <c r="E87" s="209" t="s">
        <v>46</v>
      </c>
      <c r="F87" s="406" t="s">
        <v>70</v>
      </c>
      <c r="G87" s="228">
        <v>19</v>
      </c>
      <c r="H87" s="225">
        <v>18</v>
      </c>
      <c r="I87" s="64">
        <f t="shared" si="1"/>
        <v>18.5</v>
      </c>
      <c r="J87" s="226" t="s">
        <v>439</v>
      </c>
      <c r="K87" s="210"/>
    </row>
    <row r="88" spans="1:11" ht="17.25">
      <c r="A88" s="227">
        <v>96</v>
      </c>
      <c r="B88" s="209" t="s">
        <v>60</v>
      </c>
      <c r="C88" s="209" t="s">
        <v>140</v>
      </c>
      <c r="D88" s="226" t="s">
        <v>300</v>
      </c>
      <c r="E88" s="209" t="s">
        <v>46</v>
      </c>
      <c r="F88" s="209" t="s">
        <v>44</v>
      </c>
      <c r="G88" s="228">
        <v>112</v>
      </c>
      <c r="H88" s="225">
        <v>100</v>
      </c>
      <c r="I88" s="64">
        <f t="shared" si="1"/>
        <v>106</v>
      </c>
      <c r="J88" s="226" t="s">
        <v>440</v>
      </c>
      <c r="K88" s="210"/>
    </row>
    <row r="89" spans="1:11" ht="17.25">
      <c r="A89" s="227">
        <v>97</v>
      </c>
      <c r="B89" s="406" t="s">
        <v>62</v>
      </c>
      <c r="C89" s="406" t="s">
        <v>141</v>
      </c>
      <c r="D89" s="226"/>
      <c r="E89" s="406" t="s">
        <v>49</v>
      </c>
      <c r="F89" s="406"/>
      <c r="G89" s="229">
        <v>2.43</v>
      </c>
      <c r="H89" s="225">
        <v>2.295</v>
      </c>
      <c r="I89" s="64">
        <f t="shared" si="1"/>
        <v>2.36</v>
      </c>
      <c r="J89" s="226" t="s">
        <v>441</v>
      </c>
      <c r="K89" s="210"/>
    </row>
    <row r="90" spans="1:11" ht="17.25">
      <c r="A90" s="200">
        <v>98</v>
      </c>
      <c r="B90" s="188" t="s">
        <v>68</v>
      </c>
      <c r="C90" s="188" t="s">
        <v>142</v>
      </c>
      <c r="D90" s="189" t="s">
        <v>381</v>
      </c>
      <c r="E90" s="188" t="s">
        <v>46</v>
      </c>
      <c r="F90" s="188"/>
      <c r="G90" s="228">
        <v>0</v>
      </c>
      <c r="H90" s="225">
        <v>0</v>
      </c>
      <c r="I90" s="201">
        <f t="shared" si="1"/>
        <v>0</v>
      </c>
      <c r="J90" s="189" t="s">
        <v>442</v>
      </c>
      <c r="K90" s="210"/>
    </row>
    <row r="91" spans="1:11" ht="17.25">
      <c r="A91" s="227">
        <v>99</v>
      </c>
      <c r="B91" s="209" t="s">
        <v>60</v>
      </c>
      <c r="C91" s="209" t="s">
        <v>143</v>
      </c>
      <c r="D91" s="226"/>
      <c r="E91" s="209" t="s">
        <v>46</v>
      </c>
      <c r="F91" s="209"/>
      <c r="G91" s="228">
        <v>52.2</v>
      </c>
      <c r="H91" s="225">
        <v>50.4</v>
      </c>
      <c r="I91" s="64">
        <f t="shared" si="1"/>
        <v>51.3</v>
      </c>
      <c r="J91" s="226" t="s">
        <v>443</v>
      </c>
      <c r="K91" s="210"/>
    </row>
    <row r="92" spans="1:11" ht="17.25">
      <c r="A92" s="227">
        <v>100</v>
      </c>
      <c r="B92" s="406" t="s">
        <v>105</v>
      </c>
      <c r="C92" s="406" t="s">
        <v>144</v>
      </c>
      <c r="D92" s="226" t="s">
        <v>539</v>
      </c>
      <c r="E92" s="406" t="s">
        <v>46</v>
      </c>
      <c r="F92" s="406" t="s">
        <v>44</v>
      </c>
      <c r="G92" s="228">
        <v>24</v>
      </c>
      <c r="H92" s="225">
        <v>23</v>
      </c>
      <c r="I92" s="64">
        <f t="shared" si="1"/>
        <v>23.5</v>
      </c>
      <c r="J92" s="226" t="s">
        <v>444</v>
      </c>
      <c r="K92" s="210"/>
    </row>
    <row r="93" spans="1:11" ht="17.25">
      <c r="A93" s="227">
        <v>101</v>
      </c>
      <c r="B93" s="406" t="s">
        <v>145</v>
      </c>
      <c r="C93" s="406" t="s">
        <v>146</v>
      </c>
      <c r="D93" s="226"/>
      <c r="E93" s="406" t="s">
        <v>46</v>
      </c>
      <c r="F93" s="406" t="s">
        <v>78</v>
      </c>
      <c r="G93" s="228">
        <v>80</v>
      </c>
      <c r="H93" s="225">
        <v>87</v>
      </c>
      <c r="I93" s="64">
        <f t="shared" si="1"/>
        <v>83.5</v>
      </c>
      <c r="J93" s="226" t="s">
        <v>445</v>
      </c>
      <c r="K93" s="210"/>
    </row>
    <row r="94" spans="1:11" ht="17.25">
      <c r="A94" s="227">
        <v>102</v>
      </c>
      <c r="B94" s="209" t="s">
        <v>60</v>
      </c>
      <c r="C94" s="209" t="s">
        <v>147</v>
      </c>
      <c r="D94" s="226" t="s">
        <v>548</v>
      </c>
      <c r="E94" s="209" t="s">
        <v>46</v>
      </c>
      <c r="F94" s="209" t="s">
        <v>46</v>
      </c>
      <c r="G94" s="228">
        <v>11.75</v>
      </c>
      <c r="H94" s="225">
        <v>15.3</v>
      </c>
      <c r="I94" s="64">
        <f t="shared" si="1"/>
        <v>13.53</v>
      </c>
      <c r="J94" s="226" t="s">
        <v>446</v>
      </c>
      <c r="K94" s="210"/>
    </row>
    <row r="95" spans="1:11" ht="17.25">
      <c r="A95" s="227">
        <v>104</v>
      </c>
      <c r="B95" s="209" t="s">
        <v>60</v>
      </c>
      <c r="C95" s="209" t="s">
        <v>148</v>
      </c>
      <c r="D95" s="226" t="s">
        <v>300</v>
      </c>
      <c r="E95" s="209" t="s">
        <v>46</v>
      </c>
      <c r="F95" s="406" t="s">
        <v>44</v>
      </c>
      <c r="G95" s="228">
        <v>49.7</v>
      </c>
      <c r="H95" s="225">
        <v>48</v>
      </c>
      <c r="I95" s="64">
        <f t="shared" si="1"/>
        <v>48.85</v>
      </c>
      <c r="J95" s="226" t="s">
        <v>447</v>
      </c>
      <c r="K95" s="210"/>
    </row>
    <row r="96" spans="1:11" ht="17.25">
      <c r="A96" s="227">
        <v>106</v>
      </c>
      <c r="B96" s="209" t="s">
        <v>62</v>
      </c>
      <c r="C96" s="209" t="s">
        <v>149</v>
      </c>
      <c r="D96" s="226" t="s">
        <v>548</v>
      </c>
      <c r="E96" s="209" t="s">
        <v>46</v>
      </c>
      <c r="F96" s="406" t="s">
        <v>44</v>
      </c>
      <c r="G96" s="228">
        <v>265.5</v>
      </c>
      <c r="H96" s="225">
        <v>265.5</v>
      </c>
      <c r="I96" s="64">
        <f t="shared" si="1"/>
        <v>265.5</v>
      </c>
      <c r="J96" s="226" t="s">
        <v>448</v>
      </c>
      <c r="K96" s="210"/>
    </row>
    <row r="97" spans="1:11" ht="17.25">
      <c r="A97" s="227">
        <v>107</v>
      </c>
      <c r="B97" s="406" t="s">
        <v>62</v>
      </c>
      <c r="C97" s="406" t="s">
        <v>150</v>
      </c>
      <c r="D97" s="226" t="s">
        <v>548</v>
      </c>
      <c r="E97" s="406" t="s">
        <v>46</v>
      </c>
      <c r="F97" s="406" t="s">
        <v>44</v>
      </c>
      <c r="G97" s="228">
        <v>853.75</v>
      </c>
      <c r="H97" s="225">
        <v>600</v>
      </c>
      <c r="I97" s="64">
        <f t="shared" si="1"/>
        <v>726.88</v>
      </c>
      <c r="J97" s="226" t="s">
        <v>825</v>
      </c>
      <c r="K97" s="210"/>
    </row>
    <row r="98" spans="1:11" ht="17.25">
      <c r="A98" s="227">
        <v>108</v>
      </c>
      <c r="B98" s="406" t="s">
        <v>62</v>
      </c>
      <c r="C98" s="406" t="s">
        <v>151</v>
      </c>
      <c r="D98" s="226"/>
      <c r="E98" s="406" t="s">
        <v>49</v>
      </c>
      <c r="F98" s="406"/>
      <c r="G98" s="228">
        <v>18</v>
      </c>
      <c r="H98" s="225">
        <v>17.1</v>
      </c>
      <c r="I98" s="64">
        <f t="shared" si="1"/>
        <v>17.55</v>
      </c>
      <c r="J98" s="226" t="s">
        <v>449</v>
      </c>
      <c r="K98" s="210"/>
    </row>
    <row r="99" spans="1:11" ht="17.25">
      <c r="A99" s="222">
        <v>109</v>
      </c>
      <c r="B99" s="223" t="s">
        <v>60</v>
      </c>
      <c r="C99" s="223" t="s">
        <v>831</v>
      </c>
      <c r="D99" s="214" t="s">
        <v>309</v>
      </c>
      <c r="E99" s="223" t="s">
        <v>46</v>
      </c>
      <c r="F99" s="405" t="s">
        <v>78</v>
      </c>
      <c r="G99" s="231">
        <v>20.5</v>
      </c>
      <c r="H99" s="225">
        <v>23</v>
      </c>
      <c r="I99" s="64">
        <f t="shared" si="1"/>
        <v>21.75</v>
      </c>
      <c r="J99" s="226" t="s">
        <v>377</v>
      </c>
      <c r="K99" s="210"/>
    </row>
    <row r="100" spans="1:11" ht="17.25">
      <c r="A100" s="227">
        <v>110</v>
      </c>
      <c r="B100" s="406" t="s">
        <v>75</v>
      </c>
      <c r="C100" s="406" t="s">
        <v>152</v>
      </c>
      <c r="D100" s="226"/>
      <c r="E100" s="406" t="s">
        <v>49</v>
      </c>
      <c r="F100" s="406"/>
      <c r="G100" s="228">
        <v>14.55</v>
      </c>
      <c r="H100" s="225">
        <v>14.6</v>
      </c>
      <c r="I100" s="64">
        <f t="shared" si="1"/>
        <v>14.58</v>
      </c>
      <c r="J100" s="226" t="s">
        <v>450</v>
      </c>
      <c r="K100" s="210"/>
    </row>
    <row r="101" spans="1:11" ht="17.25">
      <c r="A101" s="227">
        <v>111</v>
      </c>
      <c r="B101" s="209" t="s">
        <v>138</v>
      </c>
      <c r="C101" s="209" t="s">
        <v>153</v>
      </c>
      <c r="D101" s="226"/>
      <c r="E101" s="209" t="s">
        <v>46</v>
      </c>
      <c r="F101" s="406" t="s">
        <v>46</v>
      </c>
      <c r="G101" s="228">
        <v>12.65</v>
      </c>
      <c r="H101" s="225">
        <v>15.5</v>
      </c>
      <c r="I101" s="64">
        <f t="shared" si="1"/>
        <v>14.08</v>
      </c>
      <c r="J101" s="226" t="s">
        <v>451</v>
      </c>
      <c r="K101" s="210"/>
    </row>
    <row r="102" spans="1:11" ht="17.25">
      <c r="A102" s="227">
        <v>112</v>
      </c>
      <c r="B102" s="406" t="s">
        <v>62</v>
      </c>
      <c r="C102" s="406" t="s">
        <v>154</v>
      </c>
      <c r="D102" s="226"/>
      <c r="E102" s="406" t="s">
        <v>46</v>
      </c>
      <c r="F102" s="209"/>
      <c r="G102" s="228">
        <v>79.2</v>
      </c>
      <c r="H102" s="225">
        <v>77.4</v>
      </c>
      <c r="I102" s="64">
        <f t="shared" si="1"/>
        <v>78.3</v>
      </c>
      <c r="J102" s="226" t="s">
        <v>452</v>
      </c>
      <c r="K102" s="210"/>
    </row>
    <row r="103" spans="1:11" ht="17.25">
      <c r="A103" s="227">
        <v>113</v>
      </c>
      <c r="B103" s="209" t="s">
        <v>60</v>
      </c>
      <c r="C103" s="209" t="s">
        <v>155</v>
      </c>
      <c r="D103" s="226" t="s">
        <v>300</v>
      </c>
      <c r="E103" s="209" t="s">
        <v>70</v>
      </c>
      <c r="F103" s="209"/>
      <c r="G103" s="228">
        <v>4.5</v>
      </c>
      <c r="H103" s="225">
        <v>4.05</v>
      </c>
      <c r="I103" s="64">
        <f t="shared" si="1"/>
        <v>4.28</v>
      </c>
      <c r="J103" s="226" t="s">
        <v>453</v>
      </c>
      <c r="K103" s="210"/>
    </row>
    <row r="104" spans="1:11" ht="17.25">
      <c r="A104" s="200">
        <v>114</v>
      </c>
      <c r="B104" s="188" t="s">
        <v>68</v>
      </c>
      <c r="C104" s="188" t="s">
        <v>379</v>
      </c>
      <c r="D104" s="189" t="s">
        <v>381</v>
      </c>
      <c r="E104" s="188" t="s">
        <v>46</v>
      </c>
      <c r="F104" s="407" t="s">
        <v>70</v>
      </c>
      <c r="G104" s="229">
        <v>0</v>
      </c>
      <c r="H104" s="225">
        <v>0</v>
      </c>
      <c r="I104" s="201">
        <f t="shared" si="1"/>
        <v>0</v>
      </c>
      <c r="J104" s="189" t="s">
        <v>454</v>
      </c>
      <c r="K104" s="210"/>
    </row>
    <row r="105" spans="1:11" ht="17.25">
      <c r="A105" s="227">
        <v>115</v>
      </c>
      <c r="B105" s="209" t="s">
        <v>68</v>
      </c>
      <c r="C105" s="209" t="s">
        <v>156</v>
      </c>
      <c r="D105" s="226"/>
      <c r="E105" s="209" t="s">
        <v>49</v>
      </c>
      <c r="F105" s="406" t="s">
        <v>49</v>
      </c>
      <c r="G105" s="228">
        <v>46</v>
      </c>
      <c r="H105" s="225">
        <v>47</v>
      </c>
      <c r="I105" s="64">
        <f t="shared" si="1"/>
        <v>46.5</v>
      </c>
      <c r="J105" s="226" t="s">
        <v>455</v>
      </c>
      <c r="K105" s="210"/>
    </row>
    <row r="106" spans="1:11" ht="17.25">
      <c r="A106" s="227">
        <v>116</v>
      </c>
      <c r="B106" s="209" t="s">
        <v>60</v>
      </c>
      <c r="C106" s="209" t="s">
        <v>157</v>
      </c>
      <c r="D106" s="226" t="s">
        <v>310</v>
      </c>
      <c r="E106" s="209" t="s">
        <v>46</v>
      </c>
      <c r="F106" s="209"/>
      <c r="G106" s="228">
        <v>28.8</v>
      </c>
      <c r="H106" s="225">
        <v>28.8</v>
      </c>
      <c r="I106" s="64">
        <f t="shared" si="1"/>
        <v>28.8</v>
      </c>
      <c r="J106" s="226" t="s">
        <v>456</v>
      </c>
      <c r="K106" s="210"/>
    </row>
    <row r="107" spans="1:11" ht="17.25">
      <c r="A107" s="227">
        <v>117</v>
      </c>
      <c r="B107" s="406" t="s">
        <v>60</v>
      </c>
      <c r="C107" s="406" t="s">
        <v>158</v>
      </c>
      <c r="D107" s="226" t="s">
        <v>307</v>
      </c>
      <c r="E107" s="406" t="s">
        <v>70</v>
      </c>
      <c r="F107" s="406" t="s">
        <v>70</v>
      </c>
      <c r="G107" s="228">
        <v>10</v>
      </c>
      <c r="H107" s="225">
        <v>9</v>
      </c>
      <c r="I107" s="64">
        <f t="shared" si="1"/>
        <v>9.5</v>
      </c>
      <c r="J107" s="226" t="s">
        <v>457</v>
      </c>
      <c r="K107" s="210"/>
    </row>
    <row r="108" spans="1:11" ht="17.25">
      <c r="A108" s="227">
        <v>118</v>
      </c>
      <c r="B108" s="209" t="s">
        <v>60</v>
      </c>
      <c r="C108" s="209" t="s">
        <v>159</v>
      </c>
      <c r="D108" s="226"/>
      <c r="E108" s="209" t="s">
        <v>46</v>
      </c>
      <c r="F108" s="209" t="s">
        <v>46</v>
      </c>
      <c r="G108" s="228">
        <v>77.4</v>
      </c>
      <c r="H108" s="225">
        <v>77.4</v>
      </c>
      <c r="I108" s="64">
        <f t="shared" si="1"/>
        <v>77.4</v>
      </c>
      <c r="J108" s="226" t="s">
        <v>458</v>
      </c>
      <c r="K108" s="210"/>
    </row>
    <row r="109" spans="1:11" ht="17.25">
      <c r="A109" s="227">
        <v>120</v>
      </c>
      <c r="B109" s="209" t="s">
        <v>60</v>
      </c>
      <c r="C109" s="209" t="s">
        <v>160</v>
      </c>
      <c r="D109" s="226"/>
      <c r="E109" s="209" t="s">
        <v>46</v>
      </c>
      <c r="F109" s="406" t="s">
        <v>44</v>
      </c>
      <c r="G109" s="228">
        <v>22.5</v>
      </c>
      <c r="H109" s="225">
        <v>21.6</v>
      </c>
      <c r="I109" s="64">
        <f t="shared" si="1"/>
        <v>22.05</v>
      </c>
      <c r="J109" s="226" t="s">
        <v>459</v>
      </c>
      <c r="K109" s="210"/>
    </row>
    <row r="110" spans="1:11" ht="17.25">
      <c r="A110" s="227">
        <v>121</v>
      </c>
      <c r="B110" s="406" t="s">
        <v>62</v>
      </c>
      <c r="C110" s="406" t="s">
        <v>161</v>
      </c>
      <c r="D110" s="226"/>
      <c r="E110" s="406" t="s">
        <v>49</v>
      </c>
      <c r="F110" s="209"/>
      <c r="G110" s="229">
        <v>44.1</v>
      </c>
      <c r="H110" s="225">
        <v>42.3</v>
      </c>
      <c r="I110" s="64">
        <f t="shared" si="1"/>
        <v>43.2</v>
      </c>
      <c r="J110" s="226" t="s">
        <v>460</v>
      </c>
      <c r="K110" s="210"/>
    </row>
    <row r="111" spans="1:11" ht="17.25">
      <c r="A111" s="227">
        <v>122</v>
      </c>
      <c r="B111" s="406" t="s">
        <v>75</v>
      </c>
      <c r="C111" s="209" t="s">
        <v>354</v>
      </c>
      <c r="D111" s="226" t="s">
        <v>310</v>
      </c>
      <c r="E111" s="209" t="s">
        <v>46</v>
      </c>
      <c r="F111" s="406" t="s">
        <v>46</v>
      </c>
      <c r="G111" s="228">
        <v>20</v>
      </c>
      <c r="H111" s="225">
        <v>17</v>
      </c>
      <c r="I111" s="64">
        <f t="shared" si="1"/>
        <v>18.5</v>
      </c>
      <c r="J111" s="226" t="s">
        <v>461</v>
      </c>
      <c r="K111" s="210"/>
    </row>
    <row r="112" spans="1:11" ht="17.25">
      <c r="A112" s="227">
        <v>123</v>
      </c>
      <c r="B112" s="406" t="s">
        <v>75</v>
      </c>
      <c r="C112" s="406" t="s">
        <v>162</v>
      </c>
      <c r="D112" s="226" t="s">
        <v>310</v>
      </c>
      <c r="E112" s="406" t="s">
        <v>46</v>
      </c>
      <c r="F112" s="209" t="s">
        <v>46</v>
      </c>
      <c r="G112" s="228">
        <v>20.73</v>
      </c>
      <c r="H112" s="225">
        <v>21.5</v>
      </c>
      <c r="I112" s="64">
        <f t="shared" si="1"/>
        <v>21.12</v>
      </c>
      <c r="J112" s="226" t="s">
        <v>462</v>
      </c>
      <c r="K112" s="210"/>
    </row>
    <row r="113" spans="1:11" ht="17.25">
      <c r="A113" s="281">
        <v>124</v>
      </c>
      <c r="B113" s="282" t="s">
        <v>163</v>
      </c>
      <c r="C113" s="282" t="s">
        <v>164</v>
      </c>
      <c r="D113" s="283" t="s">
        <v>381</v>
      </c>
      <c r="E113" s="282" t="s">
        <v>49</v>
      </c>
      <c r="F113" s="408" t="s">
        <v>49</v>
      </c>
      <c r="G113" s="507">
        <v>0</v>
      </c>
      <c r="H113" s="284">
        <v>0</v>
      </c>
      <c r="I113" s="284">
        <f t="shared" si="1"/>
        <v>0</v>
      </c>
      <c r="J113" s="283" t="s">
        <v>463</v>
      </c>
      <c r="K113" s="210"/>
    </row>
    <row r="114" spans="1:11" ht="17.25">
      <c r="A114" s="227">
        <v>125</v>
      </c>
      <c r="B114" s="286" t="s">
        <v>68</v>
      </c>
      <c r="C114" s="286" t="s">
        <v>567</v>
      </c>
      <c r="D114" s="286"/>
      <c r="E114" s="286" t="s">
        <v>46</v>
      </c>
      <c r="F114" s="286" t="s">
        <v>46</v>
      </c>
      <c r="G114" s="228">
        <v>170</v>
      </c>
      <c r="H114" s="225">
        <v>160</v>
      </c>
      <c r="I114" s="64">
        <f t="shared" si="1"/>
        <v>165</v>
      </c>
      <c r="J114" s="217" t="s">
        <v>464</v>
      </c>
      <c r="K114" s="210"/>
    </row>
    <row r="115" spans="1:11" ht="17.25">
      <c r="A115" s="227">
        <v>126</v>
      </c>
      <c r="B115" s="209" t="s">
        <v>62</v>
      </c>
      <c r="C115" s="406" t="s">
        <v>165</v>
      </c>
      <c r="D115" s="226"/>
      <c r="E115" s="406" t="s">
        <v>49</v>
      </c>
      <c r="F115" s="209"/>
      <c r="G115" s="228">
        <v>2.88</v>
      </c>
      <c r="H115" s="225">
        <v>2.7</v>
      </c>
      <c r="I115" s="64">
        <f t="shared" si="1"/>
        <v>2.79</v>
      </c>
      <c r="J115" s="226" t="s">
        <v>166</v>
      </c>
      <c r="K115" s="210"/>
    </row>
    <row r="116" spans="1:11" ht="17.25">
      <c r="A116" s="227">
        <v>127</v>
      </c>
      <c r="B116" s="209" t="s">
        <v>62</v>
      </c>
      <c r="C116" s="209" t="s">
        <v>167</v>
      </c>
      <c r="D116" s="226"/>
      <c r="E116" s="209" t="s">
        <v>46</v>
      </c>
      <c r="F116" s="209" t="s">
        <v>70</v>
      </c>
      <c r="G116" s="228">
        <v>300</v>
      </c>
      <c r="H116" s="225">
        <v>297</v>
      </c>
      <c r="I116" s="64">
        <f t="shared" si="1"/>
        <v>298.5</v>
      </c>
      <c r="J116" s="226" t="s">
        <v>465</v>
      </c>
      <c r="K116" s="210"/>
    </row>
    <row r="117" spans="1:11" ht="17.25">
      <c r="A117" s="227">
        <v>128</v>
      </c>
      <c r="B117" s="406" t="s">
        <v>62</v>
      </c>
      <c r="C117" s="406" t="s">
        <v>344</v>
      </c>
      <c r="D117" s="226"/>
      <c r="E117" s="406" t="s">
        <v>49</v>
      </c>
      <c r="F117" s="209" t="s">
        <v>49</v>
      </c>
      <c r="G117" s="228">
        <v>14.625</v>
      </c>
      <c r="H117" s="225">
        <v>14.481</v>
      </c>
      <c r="I117" s="64">
        <f t="shared" si="1"/>
        <v>14.55</v>
      </c>
      <c r="J117" s="226" t="s">
        <v>466</v>
      </c>
      <c r="K117" s="210"/>
    </row>
    <row r="118" spans="1:11" ht="17.25">
      <c r="A118" s="227">
        <v>129</v>
      </c>
      <c r="B118" s="209" t="s">
        <v>60</v>
      </c>
      <c r="C118" s="209" t="s">
        <v>568</v>
      </c>
      <c r="D118" s="226" t="s">
        <v>310</v>
      </c>
      <c r="E118" s="209" t="s">
        <v>46</v>
      </c>
      <c r="F118" s="406" t="s">
        <v>44</v>
      </c>
      <c r="G118" s="228">
        <v>28</v>
      </c>
      <c r="H118" s="225">
        <v>23.5</v>
      </c>
      <c r="I118" s="64">
        <f t="shared" si="1"/>
        <v>25.75</v>
      </c>
      <c r="J118" s="226" t="s">
        <v>520</v>
      </c>
      <c r="K118" s="210"/>
    </row>
    <row r="119" spans="1:11" ht="17.25">
      <c r="A119" s="227">
        <v>131</v>
      </c>
      <c r="B119" s="406" t="s">
        <v>75</v>
      </c>
      <c r="C119" s="406" t="s">
        <v>168</v>
      </c>
      <c r="D119" s="226"/>
      <c r="E119" s="406" t="s">
        <v>46</v>
      </c>
      <c r="F119" s="406"/>
      <c r="G119" s="228">
        <v>3.78</v>
      </c>
      <c r="H119" s="225">
        <v>3.6</v>
      </c>
      <c r="I119" s="64">
        <f t="shared" si="1"/>
        <v>3.69</v>
      </c>
      <c r="J119" s="226" t="s">
        <v>467</v>
      </c>
      <c r="K119" s="210"/>
    </row>
    <row r="120" spans="1:11" ht="17.25">
      <c r="A120" s="227">
        <v>132</v>
      </c>
      <c r="B120" s="209" t="s">
        <v>60</v>
      </c>
      <c r="C120" s="209" t="s">
        <v>169</v>
      </c>
      <c r="D120" s="226"/>
      <c r="E120" s="209" t="s">
        <v>46</v>
      </c>
      <c r="F120" s="406"/>
      <c r="G120" s="229">
        <v>32.4</v>
      </c>
      <c r="H120" s="225">
        <v>31.5</v>
      </c>
      <c r="I120" s="64">
        <f t="shared" si="1"/>
        <v>31.95</v>
      </c>
      <c r="J120" s="226" t="s">
        <v>468</v>
      </c>
      <c r="K120" s="210"/>
    </row>
    <row r="121" spans="1:11" ht="17.25">
      <c r="A121" s="227">
        <v>134</v>
      </c>
      <c r="B121" s="209" t="s">
        <v>62</v>
      </c>
      <c r="C121" s="406" t="s">
        <v>170</v>
      </c>
      <c r="D121" s="226"/>
      <c r="E121" s="406" t="s">
        <v>49</v>
      </c>
      <c r="F121" s="209" t="s">
        <v>49</v>
      </c>
      <c r="G121" s="228">
        <v>2.25</v>
      </c>
      <c r="H121" s="225">
        <v>3.06</v>
      </c>
      <c r="I121" s="64">
        <f t="shared" si="1"/>
        <v>2.66</v>
      </c>
      <c r="J121" s="226" t="s">
        <v>171</v>
      </c>
      <c r="K121" s="210"/>
    </row>
    <row r="122" spans="1:11" ht="17.25">
      <c r="A122" s="227">
        <v>135</v>
      </c>
      <c r="B122" s="217" t="s">
        <v>172</v>
      </c>
      <c r="C122" s="217" t="s">
        <v>172</v>
      </c>
      <c r="D122" s="217"/>
      <c r="E122" s="217" t="s">
        <v>46</v>
      </c>
      <c r="F122" s="217" t="s">
        <v>78</v>
      </c>
      <c r="G122" s="228">
        <v>10.8</v>
      </c>
      <c r="H122" s="225">
        <v>9.9</v>
      </c>
      <c r="I122" s="64">
        <f t="shared" si="1"/>
        <v>10.35</v>
      </c>
      <c r="J122" s="217" t="s">
        <v>173</v>
      </c>
      <c r="K122" s="210"/>
    </row>
    <row r="123" spans="1:11" ht="17.25">
      <c r="A123" s="200">
        <v>136</v>
      </c>
      <c r="B123" s="207" t="s">
        <v>60</v>
      </c>
      <c r="C123" s="207" t="s">
        <v>254</v>
      </c>
      <c r="D123" s="189" t="s">
        <v>381</v>
      </c>
      <c r="E123" s="207" t="s">
        <v>46</v>
      </c>
      <c r="F123" s="207" t="s">
        <v>44</v>
      </c>
      <c r="G123" s="228">
        <v>32.4</v>
      </c>
      <c r="H123" s="225">
        <v>31.5</v>
      </c>
      <c r="I123" s="201">
        <f t="shared" si="1"/>
        <v>31.95</v>
      </c>
      <c r="J123" s="232" t="s">
        <v>469</v>
      </c>
      <c r="K123" s="210"/>
    </row>
    <row r="124" spans="1:11" ht="17.25">
      <c r="A124" s="222">
        <v>137</v>
      </c>
      <c r="B124" s="233" t="s">
        <v>68</v>
      </c>
      <c r="C124" s="233" t="s">
        <v>260</v>
      </c>
      <c r="D124" s="214"/>
      <c r="E124" s="233" t="s">
        <v>46</v>
      </c>
      <c r="F124" s="233" t="s">
        <v>70</v>
      </c>
      <c r="G124" s="224">
        <v>364</v>
      </c>
      <c r="H124" s="225">
        <v>350</v>
      </c>
      <c r="I124" s="64">
        <f t="shared" si="1"/>
        <v>357</v>
      </c>
      <c r="J124" s="226" t="s">
        <v>470</v>
      </c>
      <c r="K124" s="210"/>
    </row>
    <row r="125" spans="1:11" ht="17.25">
      <c r="A125" s="227">
        <v>138</v>
      </c>
      <c r="B125" s="234" t="s">
        <v>60</v>
      </c>
      <c r="C125" s="234" t="s">
        <v>268</v>
      </c>
      <c r="D125" s="226" t="s">
        <v>548</v>
      </c>
      <c r="E125" s="234" t="s">
        <v>46</v>
      </c>
      <c r="F125" s="234" t="s">
        <v>44</v>
      </c>
      <c r="G125" s="228">
        <v>35.9</v>
      </c>
      <c r="H125" s="225">
        <v>25.5</v>
      </c>
      <c r="I125" s="64">
        <f t="shared" si="1"/>
        <v>30.7</v>
      </c>
      <c r="J125" s="226" t="s">
        <v>471</v>
      </c>
      <c r="K125" s="210"/>
    </row>
    <row r="126" spans="1:11" ht="17.25">
      <c r="A126" s="227">
        <v>139</v>
      </c>
      <c r="B126" s="234" t="s">
        <v>60</v>
      </c>
      <c r="C126" s="234" t="s">
        <v>269</v>
      </c>
      <c r="D126" s="226" t="s">
        <v>548</v>
      </c>
      <c r="E126" s="234" t="s">
        <v>49</v>
      </c>
      <c r="F126" s="234" t="s">
        <v>49</v>
      </c>
      <c r="G126" s="228">
        <v>6.3</v>
      </c>
      <c r="H126" s="225">
        <v>6.3</v>
      </c>
      <c r="I126" s="64">
        <f t="shared" si="1"/>
        <v>6.3</v>
      </c>
      <c r="J126" s="226" t="s">
        <v>472</v>
      </c>
      <c r="K126" s="210"/>
    </row>
    <row r="127" spans="1:11" ht="17.25">
      <c r="A127" s="227">
        <v>140</v>
      </c>
      <c r="B127" s="234" t="s">
        <v>68</v>
      </c>
      <c r="C127" s="234" t="s">
        <v>549</v>
      </c>
      <c r="D127" s="226" t="s">
        <v>539</v>
      </c>
      <c r="E127" s="234" t="s">
        <v>70</v>
      </c>
      <c r="F127" s="234" t="s">
        <v>70</v>
      </c>
      <c r="G127" s="228">
        <v>1.76</v>
      </c>
      <c r="H127" s="225">
        <v>1.7</v>
      </c>
      <c r="I127" s="64">
        <f t="shared" si="1"/>
        <v>1.73</v>
      </c>
      <c r="J127" s="226" t="s">
        <v>826</v>
      </c>
      <c r="K127" s="210"/>
    </row>
    <row r="128" spans="1:11" ht="17.25">
      <c r="A128" s="281">
        <v>141</v>
      </c>
      <c r="B128" s="396" t="s">
        <v>68</v>
      </c>
      <c r="C128" s="396" t="s">
        <v>277</v>
      </c>
      <c r="D128" s="283" t="s">
        <v>381</v>
      </c>
      <c r="E128" s="396" t="s">
        <v>46</v>
      </c>
      <c r="F128" s="396" t="s">
        <v>70</v>
      </c>
      <c r="G128" s="228">
        <v>118</v>
      </c>
      <c r="H128" s="225">
        <v>80</v>
      </c>
      <c r="I128" s="64">
        <f t="shared" si="1"/>
        <v>99</v>
      </c>
      <c r="J128" s="283" t="s">
        <v>473</v>
      </c>
      <c r="K128" s="210"/>
    </row>
    <row r="129" spans="1:11" ht="17.25">
      <c r="A129" s="281">
        <v>142</v>
      </c>
      <c r="B129" s="396" t="s">
        <v>68</v>
      </c>
      <c r="C129" s="396" t="s">
        <v>278</v>
      </c>
      <c r="D129" s="283" t="s">
        <v>381</v>
      </c>
      <c r="E129" s="396" t="s">
        <v>46</v>
      </c>
      <c r="F129" s="396" t="s">
        <v>70</v>
      </c>
      <c r="G129" s="228">
        <v>655.5</v>
      </c>
      <c r="H129" s="225">
        <v>650</v>
      </c>
      <c r="I129" s="64">
        <f t="shared" si="1"/>
        <v>652.75</v>
      </c>
      <c r="J129" s="283" t="s">
        <v>474</v>
      </c>
      <c r="K129" s="210"/>
    </row>
    <row r="130" spans="1:11" ht="17.25">
      <c r="A130" s="200">
        <v>143</v>
      </c>
      <c r="B130" s="207" t="s">
        <v>68</v>
      </c>
      <c r="C130" s="207" t="s">
        <v>279</v>
      </c>
      <c r="D130" s="189" t="s">
        <v>381</v>
      </c>
      <c r="E130" s="207" t="s">
        <v>46</v>
      </c>
      <c r="F130" s="207" t="s">
        <v>78</v>
      </c>
      <c r="G130" s="228">
        <v>10</v>
      </c>
      <c r="H130" s="225">
        <v>10</v>
      </c>
      <c r="I130" s="64">
        <f t="shared" si="1"/>
        <v>10</v>
      </c>
      <c r="J130" s="189" t="s">
        <v>475</v>
      </c>
      <c r="K130" s="210"/>
    </row>
    <row r="131" spans="1:11" ht="18">
      <c r="A131" s="227">
        <v>144</v>
      </c>
      <c r="B131" s="234" t="s">
        <v>68</v>
      </c>
      <c r="C131" s="234" t="s">
        <v>563</v>
      </c>
      <c r="D131" s="226" t="s">
        <v>310</v>
      </c>
      <c r="E131" s="234" t="s">
        <v>46</v>
      </c>
      <c r="F131" s="234"/>
      <c r="G131" s="228">
        <v>36.9</v>
      </c>
      <c r="H131" s="225">
        <v>36</v>
      </c>
      <c r="I131" s="64">
        <f t="shared" si="1"/>
        <v>36.45</v>
      </c>
      <c r="J131" s="226" t="s">
        <v>564</v>
      </c>
      <c r="K131" s="210"/>
    </row>
    <row r="132" spans="1:11" ht="18">
      <c r="A132" s="227">
        <v>145</v>
      </c>
      <c r="B132" s="234" t="s">
        <v>68</v>
      </c>
      <c r="C132" s="234" t="s">
        <v>280</v>
      </c>
      <c r="D132" s="226"/>
      <c r="E132" s="234" t="s">
        <v>46</v>
      </c>
      <c r="F132" s="234" t="s">
        <v>44</v>
      </c>
      <c r="G132" s="228">
        <v>25.2</v>
      </c>
      <c r="H132" s="225">
        <v>23.4</v>
      </c>
      <c r="I132" s="64">
        <f t="shared" si="1"/>
        <v>24.3</v>
      </c>
      <c r="J132" s="226" t="s">
        <v>476</v>
      </c>
      <c r="K132" s="210"/>
    </row>
    <row r="133" spans="1:11" ht="17.25">
      <c r="A133" s="227">
        <v>146</v>
      </c>
      <c r="B133" s="234" t="s">
        <v>68</v>
      </c>
      <c r="C133" s="234" t="s">
        <v>281</v>
      </c>
      <c r="D133" s="226" t="s">
        <v>539</v>
      </c>
      <c r="E133" s="234" t="s">
        <v>46</v>
      </c>
      <c r="F133" s="234" t="s">
        <v>70</v>
      </c>
      <c r="G133" s="228">
        <v>340</v>
      </c>
      <c r="H133" s="225">
        <v>190</v>
      </c>
      <c r="I133" s="64">
        <f t="shared" si="1"/>
        <v>265</v>
      </c>
      <c r="J133" s="226" t="s">
        <v>477</v>
      </c>
      <c r="K133" s="210"/>
    </row>
    <row r="134" spans="1:11" ht="17.25">
      <c r="A134" s="227">
        <v>147</v>
      </c>
      <c r="B134" s="234" t="s">
        <v>68</v>
      </c>
      <c r="C134" s="234" t="s">
        <v>282</v>
      </c>
      <c r="D134" s="226" t="s">
        <v>302</v>
      </c>
      <c r="E134" s="234" t="s">
        <v>46</v>
      </c>
      <c r="F134" s="234"/>
      <c r="G134" s="228">
        <v>132.3</v>
      </c>
      <c r="H134" s="225">
        <v>132.3</v>
      </c>
      <c r="I134" s="64">
        <f t="shared" si="1"/>
        <v>132.3</v>
      </c>
      <c r="J134" s="226" t="s">
        <v>478</v>
      </c>
      <c r="K134" s="210"/>
    </row>
    <row r="135" spans="1:11" ht="18">
      <c r="A135" s="227">
        <v>148</v>
      </c>
      <c r="B135" s="234" t="s">
        <v>68</v>
      </c>
      <c r="C135" s="234" t="s">
        <v>283</v>
      </c>
      <c r="D135" s="226"/>
      <c r="E135" s="234" t="s">
        <v>46</v>
      </c>
      <c r="F135" s="234"/>
      <c r="G135" s="228">
        <v>576</v>
      </c>
      <c r="H135" s="225">
        <v>586.8</v>
      </c>
      <c r="I135" s="64">
        <f aca="true" t="shared" si="2" ref="I135:I198">ROUND(IF(G135=0,H135,IF(H135=0,G135,AVERAGE(G135,H135))),2)</f>
        <v>581.4</v>
      </c>
      <c r="J135" s="226" t="s">
        <v>479</v>
      </c>
      <c r="K135" s="210"/>
    </row>
    <row r="136" spans="1:11" ht="18">
      <c r="A136" s="227">
        <v>149</v>
      </c>
      <c r="B136" s="234" t="s">
        <v>68</v>
      </c>
      <c r="C136" s="234" t="s">
        <v>284</v>
      </c>
      <c r="D136" s="226"/>
      <c r="E136" s="234" t="s">
        <v>49</v>
      </c>
      <c r="F136" s="234" t="s">
        <v>49</v>
      </c>
      <c r="G136" s="228">
        <v>9</v>
      </c>
      <c r="H136" s="225">
        <v>8.1</v>
      </c>
      <c r="I136" s="64">
        <f t="shared" si="2"/>
        <v>8.55</v>
      </c>
      <c r="J136" s="226" t="s">
        <v>480</v>
      </c>
      <c r="K136" s="210"/>
    </row>
    <row r="137" spans="1:11" ht="18">
      <c r="A137" s="227">
        <v>150</v>
      </c>
      <c r="B137" s="234" t="s">
        <v>68</v>
      </c>
      <c r="C137" s="234" t="s">
        <v>285</v>
      </c>
      <c r="D137" s="226"/>
      <c r="E137" s="234" t="s">
        <v>49</v>
      </c>
      <c r="F137" s="234" t="s">
        <v>49</v>
      </c>
      <c r="G137" s="228">
        <v>10</v>
      </c>
      <c r="H137" s="225">
        <v>13</v>
      </c>
      <c r="I137" s="64">
        <f t="shared" si="2"/>
        <v>11.5</v>
      </c>
      <c r="J137" s="226" t="s">
        <v>481</v>
      </c>
      <c r="K137" s="210"/>
    </row>
    <row r="138" spans="1:11" ht="17.25">
      <c r="A138" s="227">
        <v>151</v>
      </c>
      <c r="B138" s="234" t="s">
        <v>68</v>
      </c>
      <c r="C138" s="234" t="s">
        <v>286</v>
      </c>
      <c r="D138" s="226"/>
      <c r="E138" s="234" t="s">
        <v>49</v>
      </c>
      <c r="F138" s="234" t="s">
        <v>49</v>
      </c>
      <c r="G138" s="229">
        <v>40.5</v>
      </c>
      <c r="H138" s="225">
        <v>38.7</v>
      </c>
      <c r="I138" s="64">
        <f t="shared" si="2"/>
        <v>39.6</v>
      </c>
      <c r="J138" s="226" t="s">
        <v>482</v>
      </c>
      <c r="K138" s="210"/>
    </row>
    <row r="139" spans="1:11" ht="17.25">
      <c r="A139" s="227">
        <v>152</v>
      </c>
      <c r="B139" s="234" t="s">
        <v>62</v>
      </c>
      <c r="C139" s="234" t="s">
        <v>287</v>
      </c>
      <c r="D139" s="226"/>
      <c r="E139" s="234" t="s">
        <v>49</v>
      </c>
      <c r="F139" s="234" t="s">
        <v>49</v>
      </c>
      <c r="G139" s="228">
        <v>9</v>
      </c>
      <c r="H139" s="225">
        <v>10</v>
      </c>
      <c r="I139" s="64">
        <f t="shared" si="2"/>
        <v>9.5</v>
      </c>
      <c r="J139" s="226" t="s">
        <v>288</v>
      </c>
      <c r="K139" s="210"/>
    </row>
    <row r="140" spans="1:11" ht="17.25">
      <c r="A140" s="227">
        <v>153</v>
      </c>
      <c r="B140" s="234" t="s">
        <v>60</v>
      </c>
      <c r="C140" s="234" t="s">
        <v>289</v>
      </c>
      <c r="D140" s="226" t="s">
        <v>307</v>
      </c>
      <c r="E140" s="234" t="s">
        <v>49</v>
      </c>
      <c r="F140" s="234" t="s">
        <v>49</v>
      </c>
      <c r="G140" s="228">
        <v>5.8</v>
      </c>
      <c r="H140" s="225">
        <v>5.75</v>
      </c>
      <c r="I140" s="64">
        <f t="shared" si="2"/>
        <v>5.78</v>
      </c>
      <c r="J140" s="226" t="s">
        <v>483</v>
      </c>
      <c r="K140" s="210"/>
    </row>
    <row r="141" spans="1:11" ht="17.25">
      <c r="A141" s="227">
        <v>154</v>
      </c>
      <c r="B141" s="234" t="s">
        <v>60</v>
      </c>
      <c r="C141" s="234" t="s">
        <v>290</v>
      </c>
      <c r="D141" s="226"/>
      <c r="E141" s="234" t="s">
        <v>49</v>
      </c>
      <c r="F141" s="234" t="s">
        <v>49</v>
      </c>
      <c r="G141" s="228">
        <v>34</v>
      </c>
      <c r="H141" s="225">
        <v>27</v>
      </c>
      <c r="I141" s="64">
        <f t="shared" si="2"/>
        <v>30.5</v>
      </c>
      <c r="J141" s="226" t="s">
        <v>484</v>
      </c>
      <c r="K141" s="210"/>
    </row>
    <row r="142" spans="1:11" ht="17.25">
      <c r="A142" s="227">
        <v>155</v>
      </c>
      <c r="B142" s="234" t="s">
        <v>68</v>
      </c>
      <c r="C142" s="234" t="s">
        <v>291</v>
      </c>
      <c r="D142" s="226" t="s">
        <v>550</v>
      </c>
      <c r="E142" s="234" t="s">
        <v>46</v>
      </c>
      <c r="F142" s="234" t="s">
        <v>44</v>
      </c>
      <c r="G142" s="229">
        <v>36</v>
      </c>
      <c r="H142" s="225">
        <v>34.2</v>
      </c>
      <c r="I142" s="64">
        <f t="shared" si="2"/>
        <v>35.1</v>
      </c>
      <c r="J142" s="226" t="s">
        <v>96</v>
      </c>
      <c r="K142" s="210"/>
    </row>
    <row r="143" spans="1:11" ht="17.25">
      <c r="A143" s="227">
        <v>156</v>
      </c>
      <c r="B143" s="234" t="s">
        <v>68</v>
      </c>
      <c r="C143" s="234" t="s">
        <v>292</v>
      </c>
      <c r="D143" s="226"/>
      <c r="E143" s="234" t="s">
        <v>44</v>
      </c>
      <c r="F143" s="234"/>
      <c r="G143" s="228">
        <v>156.6</v>
      </c>
      <c r="H143" s="225">
        <v>153</v>
      </c>
      <c r="I143" s="64">
        <f t="shared" si="2"/>
        <v>154.8</v>
      </c>
      <c r="J143" s="226" t="s">
        <v>485</v>
      </c>
      <c r="K143" s="210"/>
    </row>
    <row r="144" spans="1:11" ht="17.25">
      <c r="A144" s="227">
        <v>157</v>
      </c>
      <c r="B144" s="234" t="s">
        <v>68</v>
      </c>
      <c r="C144" s="234" t="s">
        <v>293</v>
      </c>
      <c r="D144" s="226"/>
      <c r="E144" s="234" t="s">
        <v>46</v>
      </c>
      <c r="F144" s="234" t="s">
        <v>46</v>
      </c>
      <c r="G144" s="229">
        <v>4.59</v>
      </c>
      <c r="H144" s="225">
        <v>4.41</v>
      </c>
      <c r="I144" s="64">
        <f t="shared" si="2"/>
        <v>4.5</v>
      </c>
      <c r="J144" s="226" t="s">
        <v>294</v>
      </c>
      <c r="K144" s="210"/>
    </row>
    <row r="145" spans="1:11" ht="17.25">
      <c r="A145" s="227">
        <v>158</v>
      </c>
      <c r="B145" s="234" t="s">
        <v>60</v>
      </c>
      <c r="C145" s="234" t="s">
        <v>311</v>
      </c>
      <c r="D145" s="226"/>
      <c r="E145" s="234" t="s">
        <v>46</v>
      </c>
      <c r="F145" s="234" t="s">
        <v>44</v>
      </c>
      <c r="G145" s="228">
        <v>86.4</v>
      </c>
      <c r="H145" s="225">
        <v>84.6</v>
      </c>
      <c r="I145" s="64">
        <f t="shared" si="2"/>
        <v>85.5</v>
      </c>
      <c r="J145" s="226" t="s">
        <v>486</v>
      </c>
      <c r="K145" s="210"/>
    </row>
    <row r="146" spans="1:11" ht="17.25">
      <c r="A146" s="227">
        <v>159</v>
      </c>
      <c r="B146" s="234" t="s">
        <v>60</v>
      </c>
      <c r="C146" s="234" t="s">
        <v>312</v>
      </c>
      <c r="D146" s="226"/>
      <c r="E146" s="234" t="s">
        <v>46</v>
      </c>
      <c r="F146" s="234" t="s">
        <v>44</v>
      </c>
      <c r="G146" s="228">
        <v>36</v>
      </c>
      <c r="H146" s="225">
        <v>40</v>
      </c>
      <c r="I146" s="64">
        <f t="shared" si="2"/>
        <v>38</v>
      </c>
      <c r="J146" s="226" t="s">
        <v>487</v>
      </c>
      <c r="K146" s="210"/>
    </row>
    <row r="147" spans="1:11" ht="17.25">
      <c r="A147" s="227">
        <v>160</v>
      </c>
      <c r="B147" s="209" t="s">
        <v>60</v>
      </c>
      <c r="C147" s="209" t="s">
        <v>316</v>
      </c>
      <c r="D147" s="226"/>
      <c r="E147" s="209" t="s">
        <v>46</v>
      </c>
      <c r="F147" s="406" t="s">
        <v>70</v>
      </c>
      <c r="G147" s="229">
        <v>33.3</v>
      </c>
      <c r="H147" s="225">
        <v>32.4</v>
      </c>
      <c r="I147" s="64">
        <f t="shared" si="2"/>
        <v>32.85</v>
      </c>
      <c r="J147" s="226" t="s">
        <v>488</v>
      </c>
      <c r="K147" s="210"/>
    </row>
    <row r="148" spans="1:11" ht="17.25">
      <c r="A148" s="227">
        <v>161</v>
      </c>
      <c r="B148" s="406" t="s">
        <v>60</v>
      </c>
      <c r="C148" s="406" t="s">
        <v>317</v>
      </c>
      <c r="D148" s="226" t="s">
        <v>548</v>
      </c>
      <c r="E148" s="406" t="s">
        <v>46</v>
      </c>
      <c r="F148" s="406" t="s">
        <v>44</v>
      </c>
      <c r="G148" s="228">
        <v>110</v>
      </c>
      <c r="H148" s="225">
        <v>115</v>
      </c>
      <c r="I148" s="64">
        <f t="shared" si="2"/>
        <v>112.5</v>
      </c>
      <c r="J148" s="226" t="s">
        <v>927</v>
      </c>
      <c r="K148" s="210"/>
    </row>
    <row r="149" spans="1:11" ht="17.25">
      <c r="A149" s="227">
        <v>162</v>
      </c>
      <c r="B149" s="209" t="s">
        <v>68</v>
      </c>
      <c r="C149" s="209" t="s">
        <v>327</v>
      </c>
      <c r="D149" s="226"/>
      <c r="E149" s="209" t="s">
        <v>49</v>
      </c>
      <c r="F149" s="209" t="s">
        <v>49</v>
      </c>
      <c r="G149" s="228">
        <v>1.863</v>
      </c>
      <c r="H149" s="225">
        <v>1.827</v>
      </c>
      <c r="I149" s="64">
        <f t="shared" si="2"/>
        <v>1.85</v>
      </c>
      <c r="J149" s="226" t="s">
        <v>100</v>
      </c>
      <c r="K149" s="210"/>
    </row>
    <row r="150" spans="1:11" ht="17.25">
      <c r="A150" s="227">
        <v>163</v>
      </c>
      <c r="B150" s="209" t="s">
        <v>68</v>
      </c>
      <c r="C150" s="209" t="s">
        <v>332</v>
      </c>
      <c r="D150" s="226"/>
      <c r="E150" s="209" t="s">
        <v>49</v>
      </c>
      <c r="F150" s="209" t="s">
        <v>49</v>
      </c>
      <c r="G150" s="228">
        <v>14</v>
      </c>
      <c r="H150" s="225">
        <v>13.7</v>
      </c>
      <c r="I150" s="64">
        <f t="shared" si="2"/>
        <v>13.85</v>
      </c>
      <c r="J150" s="226" t="s">
        <v>489</v>
      </c>
      <c r="K150" s="210"/>
    </row>
    <row r="151" spans="1:11" ht="17.25">
      <c r="A151" s="227">
        <v>164</v>
      </c>
      <c r="B151" s="209" t="s">
        <v>68</v>
      </c>
      <c r="C151" s="209" t="s">
        <v>333</v>
      </c>
      <c r="D151" s="226" t="s">
        <v>310</v>
      </c>
      <c r="E151" s="209" t="s">
        <v>46</v>
      </c>
      <c r="F151" s="209" t="s">
        <v>46</v>
      </c>
      <c r="G151" s="229">
        <v>17.1</v>
      </c>
      <c r="H151" s="225">
        <v>15.3</v>
      </c>
      <c r="I151" s="64">
        <f t="shared" si="2"/>
        <v>16.2</v>
      </c>
      <c r="J151" s="226" t="s">
        <v>490</v>
      </c>
      <c r="K151" s="210"/>
    </row>
    <row r="152" spans="1:11" ht="17.25">
      <c r="A152" s="227">
        <v>165</v>
      </c>
      <c r="B152" s="209" t="s">
        <v>68</v>
      </c>
      <c r="C152" s="209" t="s">
        <v>334</v>
      </c>
      <c r="D152" s="226"/>
      <c r="E152" s="209" t="s">
        <v>46</v>
      </c>
      <c r="F152" s="209" t="s">
        <v>46</v>
      </c>
      <c r="G152" s="229">
        <v>14.09</v>
      </c>
      <c r="H152" s="225">
        <v>14</v>
      </c>
      <c r="I152" s="64">
        <f t="shared" si="2"/>
        <v>14.05</v>
      </c>
      <c r="J152" s="226" t="s">
        <v>491</v>
      </c>
      <c r="K152" s="210"/>
    </row>
    <row r="153" spans="1:11" ht="17.25">
      <c r="A153" s="227">
        <v>166</v>
      </c>
      <c r="B153" s="209" t="s">
        <v>62</v>
      </c>
      <c r="C153" s="209" t="s">
        <v>335</v>
      </c>
      <c r="D153" s="226"/>
      <c r="E153" s="209" t="s">
        <v>49</v>
      </c>
      <c r="F153" s="209" t="s">
        <v>49</v>
      </c>
      <c r="G153" s="229">
        <v>2.88</v>
      </c>
      <c r="H153" s="225">
        <v>2.853</v>
      </c>
      <c r="I153" s="64">
        <f t="shared" si="2"/>
        <v>2.87</v>
      </c>
      <c r="J153" s="226" t="s">
        <v>492</v>
      </c>
      <c r="K153" s="210"/>
    </row>
    <row r="154" spans="1:11" ht="17.25">
      <c r="A154" s="227">
        <v>167</v>
      </c>
      <c r="B154" s="209" t="s">
        <v>60</v>
      </c>
      <c r="C154" s="209" t="s">
        <v>336</v>
      </c>
      <c r="D154" s="226"/>
      <c r="E154" s="209" t="s">
        <v>46</v>
      </c>
      <c r="F154" s="209" t="s">
        <v>70</v>
      </c>
      <c r="G154" s="228">
        <v>455</v>
      </c>
      <c r="H154" s="225">
        <v>490</v>
      </c>
      <c r="I154" s="64">
        <f t="shared" si="2"/>
        <v>472.5</v>
      </c>
      <c r="J154" s="226" t="s">
        <v>493</v>
      </c>
      <c r="K154" s="210"/>
    </row>
    <row r="155" spans="1:11" ht="17.25">
      <c r="A155" s="227">
        <v>168</v>
      </c>
      <c r="B155" s="209" t="s">
        <v>68</v>
      </c>
      <c r="C155" s="209" t="s">
        <v>345</v>
      </c>
      <c r="D155" s="226"/>
      <c r="E155" s="209" t="s">
        <v>46</v>
      </c>
      <c r="F155" s="209" t="s">
        <v>46</v>
      </c>
      <c r="G155" s="228">
        <v>166.5</v>
      </c>
      <c r="H155" s="225">
        <v>164.7</v>
      </c>
      <c r="I155" s="64">
        <f t="shared" si="2"/>
        <v>165.6</v>
      </c>
      <c r="J155" s="226" t="s">
        <v>494</v>
      </c>
      <c r="K155" s="210"/>
    </row>
    <row r="156" spans="1:11" ht="17.25">
      <c r="A156" s="227">
        <v>169</v>
      </c>
      <c r="B156" s="209" t="s">
        <v>68</v>
      </c>
      <c r="C156" s="209" t="s">
        <v>346</v>
      </c>
      <c r="D156" s="226"/>
      <c r="E156" s="209" t="s">
        <v>70</v>
      </c>
      <c r="F156" s="209" t="s">
        <v>70</v>
      </c>
      <c r="G156" s="228">
        <v>127.8</v>
      </c>
      <c r="H156" s="225">
        <v>126.52200000000002</v>
      </c>
      <c r="I156" s="64">
        <f t="shared" si="2"/>
        <v>127.16</v>
      </c>
      <c r="J156" s="226" t="s">
        <v>495</v>
      </c>
      <c r="K156" s="210"/>
    </row>
    <row r="157" spans="1:11" ht="17.25">
      <c r="A157" s="227">
        <v>170</v>
      </c>
      <c r="B157" s="209" t="s">
        <v>62</v>
      </c>
      <c r="C157" s="209" t="s">
        <v>67</v>
      </c>
      <c r="D157" s="226"/>
      <c r="E157" s="209" t="s">
        <v>49</v>
      </c>
      <c r="F157" s="209" t="s">
        <v>49</v>
      </c>
      <c r="G157" s="228">
        <v>14.7</v>
      </c>
      <c r="H157" s="225">
        <v>12.4</v>
      </c>
      <c r="I157" s="64">
        <f t="shared" si="2"/>
        <v>13.55</v>
      </c>
      <c r="J157" s="226" t="s">
        <v>522</v>
      </c>
      <c r="K157" s="210"/>
    </row>
    <row r="158" spans="1:11" ht="17.25">
      <c r="A158" s="281">
        <v>171</v>
      </c>
      <c r="B158" s="334" t="s">
        <v>60</v>
      </c>
      <c r="C158" s="334" t="s">
        <v>347</v>
      </c>
      <c r="D158" s="288"/>
      <c r="E158" s="334" t="s">
        <v>46</v>
      </c>
      <c r="F158" s="334" t="s">
        <v>78</v>
      </c>
      <c r="G158" s="228">
        <v>35.3</v>
      </c>
      <c r="H158" s="225">
        <v>37.01</v>
      </c>
      <c r="I158" s="64">
        <f t="shared" si="2"/>
        <v>36.16</v>
      </c>
      <c r="J158" s="288" t="s">
        <v>569</v>
      </c>
      <c r="K158" s="210"/>
    </row>
    <row r="159" spans="1:11" ht="17.25">
      <c r="A159" s="227">
        <v>172</v>
      </c>
      <c r="B159" s="451" t="s">
        <v>62</v>
      </c>
      <c r="C159" s="451" t="s">
        <v>348</v>
      </c>
      <c r="D159" s="288"/>
      <c r="E159" s="451" t="s">
        <v>49</v>
      </c>
      <c r="F159" s="451" t="s">
        <v>49</v>
      </c>
      <c r="G159" s="228">
        <v>2.31</v>
      </c>
      <c r="H159" s="225">
        <v>2.62</v>
      </c>
      <c r="I159" s="64">
        <f t="shared" si="2"/>
        <v>2.47</v>
      </c>
      <c r="J159" s="288" t="s">
        <v>496</v>
      </c>
      <c r="K159" s="210"/>
    </row>
    <row r="160" spans="1:11" ht="17.25">
      <c r="A160" s="281">
        <v>173</v>
      </c>
      <c r="B160" s="334" t="s">
        <v>75</v>
      </c>
      <c r="C160" s="451" t="s">
        <v>570</v>
      </c>
      <c r="D160" s="288"/>
      <c r="E160" s="334" t="s">
        <v>49</v>
      </c>
      <c r="F160" s="334" t="s">
        <v>49</v>
      </c>
      <c r="G160" s="229">
        <v>3.75</v>
      </c>
      <c r="H160" s="225">
        <v>5.85</v>
      </c>
      <c r="I160" s="64">
        <f t="shared" si="2"/>
        <v>4.8</v>
      </c>
      <c r="J160" s="288" t="s">
        <v>571</v>
      </c>
      <c r="K160" s="210"/>
    </row>
    <row r="161" spans="1:11" ht="17.25">
      <c r="A161" s="227">
        <v>174</v>
      </c>
      <c r="B161" s="209" t="s">
        <v>60</v>
      </c>
      <c r="C161" s="406" t="s">
        <v>355</v>
      </c>
      <c r="D161" s="226"/>
      <c r="E161" s="209" t="s">
        <v>46</v>
      </c>
      <c r="F161" s="209" t="s">
        <v>70</v>
      </c>
      <c r="G161" s="228">
        <v>105</v>
      </c>
      <c r="H161" s="225">
        <v>90</v>
      </c>
      <c r="I161" s="64">
        <f t="shared" si="2"/>
        <v>97.5</v>
      </c>
      <c r="J161" s="226" t="s">
        <v>497</v>
      </c>
      <c r="K161" s="210"/>
    </row>
    <row r="162" spans="1:11" ht="17.25">
      <c r="A162" s="227">
        <v>175</v>
      </c>
      <c r="B162" s="209" t="s">
        <v>68</v>
      </c>
      <c r="C162" s="406" t="s">
        <v>351</v>
      </c>
      <c r="D162" s="226" t="s">
        <v>310</v>
      </c>
      <c r="E162" s="209" t="s">
        <v>46</v>
      </c>
      <c r="F162" s="209" t="s">
        <v>70</v>
      </c>
      <c r="G162" s="228">
        <v>1040</v>
      </c>
      <c r="H162" s="225">
        <v>1000</v>
      </c>
      <c r="I162" s="64">
        <f t="shared" si="2"/>
        <v>1020</v>
      </c>
      <c r="J162" s="226" t="s">
        <v>498</v>
      </c>
      <c r="K162" s="210"/>
    </row>
    <row r="163" spans="1:11" ht="17.25">
      <c r="A163" s="227">
        <v>176</v>
      </c>
      <c r="B163" s="209" t="s">
        <v>68</v>
      </c>
      <c r="C163" s="209" t="s">
        <v>368</v>
      </c>
      <c r="D163" s="226" t="s">
        <v>302</v>
      </c>
      <c r="E163" s="209" t="s">
        <v>49</v>
      </c>
      <c r="F163" s="406" t="s">
        <v>70</v>
      </c>
      <c r="G163" s="228">
        <v>8.8</v>
      </c>
      <c r="H163" s="225">
        <v>9.75</v>
      </c>
      <c r="I163" s="64">
        <f t="shared" si="2"/>
        <v>9.28</v>
      </c>
      <c r="J163" s="226" t="s">
        <v>438</v>
      </c>
      <c r="K163" s="210"/>
    </row>
    <row r="164" spans="1:11" ht="17.25">
      <c r="A164" s="227">
        <v>177</v>
      </c>
      <c r="B164" s="209" t="s">
        <v>105</v>
      </c>
      <c r="C164" s="406" t="s">
        <v>369</v>
      </c>
      <c r="D164" s="226" t="s">
        <v>539</v>
      </c>
      <c r="E164" s="209" t="s">
        <v>46</v>
      </c>
      <c r="F164" s="209" t="s">
        <v>78</v>
      </c>
      <c r="G164" s="228">
        <v>70.2</v>
      </c>
      <c r="H164" s="225">
        <v>70.2</v>
      </c>
      <c r="I164" s="64">
        <f t="shared" si="2"/>
        <v>70.2</v>
      </c>
      <c r="J164" s="226" t="s">
        <v>499</v>
      </c>
      <c r="K164" s="210"/>
    </row>
    <row r="165" spans="1:11" ht="17.25">
      <c r="A165" s="227">
        <v>178</v>
      </c>
      <c r="B165" s="209" t="s">
        <v>60</v>
      </c>
      <c r="C165" s="406" t="s">
        <v>370</v>
      </c>
      <c r="D165" s="226" t="s">
        <v>300</v>
      </c>
      <c r="E165" s="209" t="s">
        <v>46</v>
      </c>
      <c r="F165" s="209" t="s">
        <v>44</v>
      </c>
      <c r="G165" s="228">
        <v>38.7</v>
      </c>
      <c r="H165" s="225">
        <v>38.7</v>
      </c>
      <c r="I165" s="64">
        <f t="shared" si="2"/>
        <v>38.7</v>
      </c>
      <c r="J165" s="226" t="s">
        <v>500</v>
      </c>
      <c r="K165" s="210"/>
    </row>
    <row r="166" spans="1:11" ht="17.25">
      <c r="A166" s="227">
        <v>179</v>
      </c>
      <c r="B166" s="209" t="s">
        <v>60</v>
      </c>
      <c r="C166" s="406" t="s">
        <v>371</v>
      </c>
      <c r="D166" s="226"/>
      <c r="E166" s="209" t="s">
        <v>46</v>
      </c>
      <c r="F166" s="209" t="s">
        <v>70</v>
      </c>
      <c r="G166" s="228">
        <v>18</v>
      </c>
      <c r="H166" s="225">
        <v>16.2</v>
      </c>
      <c r="I166" s="64">
        <f t="shared" si="2"/>
        <v>17.1</v>
      </c>
      <c r="J166" s="226" t="s">
        <v>501</v>
      </c>
      <c r="K166" s="210"/>
    </row>
    <row r="167" spans="1:11" ht="17.25">
      <c r="A167" s="227">
        <v>180</v>
      </c>
      <c r="B167" s="209" t="s">
        <v>60</v>
      </c>
      <c r="C167" s="406" t="s">
        <v>372</v>
      </c>
      <c r="D167" s="226" t="s">
        <v>310</v>
      </c>
      <c r="E167" s="209" t="s">
        <v>70</v>
      </c>
      <c r="F167" s="209" t="s">
        <v>70</v>
      </c>
      <c r="G167" s="228">
        <v>25.65</v>
      </c>
      <c r="H167" s="225">
        <v>25.65</v>
      </c>
      <c r="I167" s="64">
        <f t="shared" si="2"/>
        <v>25.65</v>
      </c>
      <c r="J167" s="226" t="s">
        <v>502</v>
      </c>
      <c r="K167" s="210"/>
    </row>
    <row r="168" spans="1:11" ht="17.25">
      <c r="A168" s="227">
        <v>181</v>
      </c>
      <c r="B168" s="209" t="s">
        <v>60</v>
      </c>
      <c r="C168" s="406" t="s">
        <v>373</v>
      </c>
      <c r="D168" s="226" t="s">
        <v>550</v>
      </c>
      <c r="E168" s="209" t="s">
        <v>46</v>
      </c>
      <c r="F168" s="209" t="s">
        <v>44</v>
      </c>
      <c r="G168" s="228">
        <v>43.76</v>
      </c>
      <c r="H168" s="225">
        <v>60</v>
      </c>
      <c r="I168" s="64">
        <f t="shared" si="2"/>
        <v>51.88</v>
      </c>
      <c r="J168" s="226" t="s">
        <v>503</v>
      </c>
      <c r="K168" s="210"/>
    </row>
    <row r="169" spans="1:11" ht="17.25">
      <c r="A169" s="227">
        <v>182</v>
      </c>
      <c r="B169" s="209" t="s">
        <v>62</v>
      </c>
      <c r="C169" s="406" t="s">
        <v>378</v>
      </c>
      <c r="D169" s="226" t="s">
        <v>539</v>
      </c>
      <c r="E169" s="209" t="s">
        <v>46</v>
      </c>
      <c r="F169" s="209" t="s">
        <v>70</v>
      </c>
      <c r="G169" s="228">
        <v>139.5</v>
      </c>
      <c r="H169" s="225">
        <v>139.5</v>
      </c>
      <c r="I169" s="64">
        <f t="shared" si="2"/>
        <v>139.5</v>
      </c>
      <c r="J169" s="226" t="s">
        <v>507</v>
      </c>
      <c r="K169" s="210"/>
    </row>
    <row r="170" spans="1:11" ht="17.25">
      <c r="A170" s="227">
        <v>183</v>
      </c>
      <c r="B170" s="209" t="s">
        <v>60</v>
      </c>
      <c r="C170" s="209" t="s">
        <v>511</v>
      </c>
      <c r="D170" s="226" t="s">
        <v>309</v>
      </c>
      <c r="E170" s="209" t="s">
        <v>46</v>
      </c>
      <c r="F170" s="406" t="s">
        <v>70</v>
      </c>
      <c r="G170" s="228">
        <v>30</v>
      </c>
      <c r="H170" s="225">
        <v>35</v>
      </c>
      <c r="I170" s="64">
        <f t="shared" si="2"/>
        <v>32.5</v>
      </c>
      <c r="J170" s="226" t="s">
        <v>521</v>
      </c>
      <c r="K170" s="210"/>
    </row>
    <row r="171" spans="1:11" ht="17.25">
      <c r="A171" s="227">
        <v>184</v>
      </c>
      <c r="B171" s="406" t="s">
        <v>62</v>
      </c>
      <c r="C171" s="406" t="s">
        <v>380</v>
      </c>
      <c r="D171" s="226" t="s">
        <v>548</v>
      </c>
      <c r="E171" s="406" t="s">
        <v>46</v>
      </c>
      <c r="F171" s="209" t="s">
        <v>70</v>
      </c>
      <c r="G171" s="228">
        <v>287.32</v>
      </c>
      <c r="H171" s="225">
        <v>215</v>
      </c>
      <c r="I171" s="64">
        <f t="shared" si="2"/>
        <v>251.16</v>
      </c>
      <c r="J171" s="226" t="s">
        <v>504</v>
      </c>
      <c r="K171" s="210"/>
    </row>
    <row r="172" spans="1:11" ht="17.25">
      <c r="A172" s="227">
        <v>185</v>
      </c>
      <c r="B172" s="406" t="s">
        <v>68</v>
      </c>
      <c r="C172" s="406" t="s">
        <v>505</v>
      </c>
      <c r="D172" s="226" t="s">
        <v>551</v>
      </c>
      <c r="E172" s="406" t="s">
        <v>49</v>
      </c>
      <c r="F172" s="209" t="s">
        <v>49</v>
      </c>
      <c r="G172" s="228">
        <v>2.85</v>
      </c>
      <c r="H172" s="225">
        <v>3.74</v>
      </c>
      <c r="I172" s="64">
        <f t="shared" si="2"/>
        <v>3.3</v>
      </c>
      <c r="J172" s="226" t="s">
        <v>506</v>
      </c>
      <c r="K172" s="210"/>
    </row>
    <row r="173" spans="1:11" ht="17.25">
      <c r="A173" s="222">
        <v>186</v>
      </c>
      <c r="B173" s="405" t="s">
        <v>62</v>
      </c>
      <c r="C173" s="405" t="s">
        <v>512</v>
      </c>
      <c r="D173" s="214" t="s">
        <v>300</v>
      </c>
      <c r="E173" s="405" t="s">
        <v>46</v>
      </c>
      <c r="F173" s="223" t="s">
        <v>70</v>
      </c>
      <c r="G173" s="224">
        <v>470</v>
      </c>
      <c r="H173" s="225">
        <v>316</v>
      </c>
      <c r="I173" s="64">
        <f t="shared" si="2"/>
        <v>393</v>
      </c>
      <c r="J173" s="226" t="s">
        <v>513</v>
      </c>
      <c r="K173" s="210"/>
    </row>
    <row r="174" spans="1:11" ht="17.25">
      <c r="A174" s="222">
        <v>187</v>
      </c>
      <c r="B174" s="405" t="s">
        <v>60</v>
      </c>
      <c r="C174" s="405" t="s">
        <v>514</v>
      </c>
      <c r="D174" s="214" t="s">
        <v>302</v>
      </c>
      <c r="E174" s="405" t="s">
        <v>49</v>
      </c>
      <c r="F174" s="223" t="s">
        <v>70</v>
      </c>
      <c r="G174" s="224">
        <v>116</v>
      </c>
      <c r="H174" s="225">
        <v>110</v>
      </c>
      <c r="I174" s="64">
        <f t="shared" si="2"/>
        <v>113</v>
      </c>
      <c r="J174" s="226" t="s">
        <v>515</v>
      </c>
      <c r="K174" s="210"/>
    </row>
    <row r="175" spans="1:11" ht="17.25">
      <c r="A175" s="222">
        <v>188</v>
      </c>
      <c r="B175" s="223" t="s">
        <v>138</v>
      </c>
      <c r="C175" s="223" t="s">
        <v>528</v>
      </c>
      <c r="D175" s="214" t="s">
        <v>300</v>
      </c>
      <c r="E175" s="223" t="s">
        <v>49</v>
      </c>
      <c r="F175" s="405" t="s">
        <v>70</v>
      </c>
      <c r="G175" s="224">
        <v>80</v>
      </c>
      <c r="H175" s="225">
        <v>78.15</v>
      </c>
      <c r="I175" s="64">
        <f t="shared" si="2"/>
        <v>79.08</v>
      </c>
      <c r="J175" s="226" t="s">
        <v>529</v>
      </c>
      <c r="K175" s="210"/>
    </row>
    <row r="176" spans="1:11" ht="17.25">
      <c r="A176" s="397">
        <v>189</v>
      </c>
      <c r="B176" s="452" t="s">
        <v>62</v>
      </c>
      <c r="C176" s="452" t="s">
        <v>534</v>
      </c>
      <c r="D176" s="225"/>
      <c r="E176" s="452" t="s">
        <v>49</v>
      </c>
      <c r="F176" s="377" t="s">
        <v>70</v>
      </c>
      <c r="G176" s="224">
        <v>90</v>
      </c>
      <c r="H176" s="225">
        <v>90</v>
      </c>
      <c r="I176" s="64">
        <f t="shared" si="2"/>
        <v>90</v>
      </c>
      <c r="J176" s="288" t="s">
        <v>535</v>
      </c>
      <c r="K176" s="210"/>
    </row>
    <row r="177" spans="1:11" ht="17.25">
      <c r="A177" s="222">
        <v>190</v>
      </c>
      <c r="B177" s="223" t="s">
        <v>68</v>
      </c>
      <c r="C177" s="223" t="s">
        <v>536</v>
      </c>
      <c r="D177" s="214" t="s">
        <v>303</v>
      </c>
      <c r="E177" s="223" t="s">
        <v>46</v>
      </c>
      <c r="F177" s="405" t="s">
        <v>70</v>
      </c>
      <c r="G177" s="224">
        <v>187</v>
      </c>
      <c r="H177" s="225">
        <v>174</v>
      </c>
      <c r="I177" s="64">
        <f t="shared" si="2"/>
        <v>180.5</v>
      </c>
      <c r="J177" s="226" t="s">
        <v>537</v>
      </c>
      <c r="K177" s="210"/>
    </row>
    <row r="178" spans="1:11" ht="17.25">
      <c r="A178" s="222">
        <v>191</v>
      </c>
      <c r="B178" s="223" t="s">
        <v>60</v>
      </c>
      <c r="C178" s="223" t="s">
        <v>538</v>
      </c>
      <c r="D178" s="214" t="s">
        <v>539</v>
      </c>
      <c r="E178" s="223" t="s">
        <v>70</v>
      </c>
      <c r="F178" s="405" t="s">
        <v>70</v>
      </c>
      <c r="G178" s="224">
        <v>3.7</v>
      </c>
      <c r="H178" s="225">
        <v>3.35</v>
      </c>
      <c r="I178" s="64">
        <f t="shared" si="2"/>
        <v>3.53</v>
      </c>
      <c r="J178" s="226" t="s">
        <v>540</v>
      </c>
      <c r="K178" s="210"/>
    </row>
    <row r="179" spans="1:11" ht="17.25">
      <c r="A179" s="222">
        <v>192</v>
      </c>
      <c r="B179" s="223" t="s">
        <v>68</v>
      </c>
      <c r="C179" s="223" t="s">
        <v>541</v>
      </c>
      <c r="D179" s="214"/>
      <c r="E179" s="223" t="s">
        <v>70</v>
      </c>
      <c r="F179" s="405" t="s">
        <v>70</v>
      </c>
      <c r="G179" s="224">
        <v>6</v>
      </c>
      <c r="H179" s="225">
        <v>6.75</v>
      </c>
      <c r="I179" s="64">
        <f t="shared" si="2"/>
        <v>6.38</v>
      </c>
      <c r="J179" s="226" t="s">
        <v>542</v>
      </c>
      <c r="K179" s="210"/>
    </row>
    <row r="180" spans="1:11" ht="17.25">
      <c r="A180" s="222">
        <v>193</v>
      </c>
      <c r="B180" s="223" t="s">
        <v>60</v>
      </c>
      <c r="C180" s="223" t="s">
        <v>543</v>
      </c>
      <c r="D180" s="214" t="s">
        <v>303</v>
      </c>
      <c r="E180" s="223" t="s">
        <v>78</v>
      </c>
      <c r="F180" s="405" t="s">
        <v>70</v>
      </c>
      <c r="G180" s="224">
        <v>60</v>
      </c>
      <c r="H180" s="225">
        <v>79.75</v>
      </c>
      <c r="I180" s="64">
        <f t="shared" si="2"/>
        <v>69.88</v>
      </c>
      <c r="J180" s="217" t="s">
        <v>544</v>
      </c>
      <c r="K180" s="210"/>
    </row>
    <row r="181" spans="1:11" ht="17.25">
      <c r="A181" s="222">
        <v>194</v>
      </c>
      <c r="B181" s="223" t="s">
        <v>60</v>
      </c>
      <c r="C181" s="223" t="s">
        <v>552</v>
      </c>
      <c r="D181" s="223"/>
      <c r="E181" s="223" t="s">
        <v>78</v>
      </c>
      <c r="F181" s="405" t="s">
        <v>70</v>
      </c>
      <c r="G181" s="224">
        <v>150</v>
      </c>
      <c r="H181" s="225">
        <v>183.9</v>
      </c>
      <c r="I181" s="64">
        <f t="shared" si="2"/>
        <v>166.95</v>
      </c>
      <c r="J181" s="209" t="s">
        <v>553</v>
      </c>
      <c r="K181" s="210"/>
    </row>
    <row r="182" spans="1:11" ht="17.25">
      <c r="A182" s="222">
        <v>195</v>
      </c>
      <c r="B182" s="223" t="s">
        <v>62</v>
      </c>
      <c r="C182" s="223" t="s">
        <v>555</v>
      </c>
      <c r="D182" s="214" t="s">
        <v>539</v>
      </c>
      <c r="E182" s="223" t="s">
        <v>46</v>
      </c>
      <c r="F182" s="405" t="s">
        <v>70</v>
      </c>
      <c r="G182" s="224">
        <v>323</v>
      </c>
      <c r="H182" s="225">
        <v>321</v>
      </c>
      <c r="I182" s="64">
        <f t="shared" si="2"/>
        <v>322</v>
      </c>
      <c r="J182" s="214" t="s">
        <v>556</v>
      </c>
      <c r="K182" s="210"/>
    </row>
    <row r="183" spans="1:11" ht="17.25">
      <c r="A183" s="222">
        <v>196</v>
      </c>
      <c r="B183" s="223" t="s">
        <v>62</v>
      </c>
      <c r="C183" s="223" t="s">
        <v>557</v>
      </c>
      <c r="D183" s="223" t="s">
        <v>559</v>
      </c>
      <c r="E183" s="223" t="s">
        <v>46</v>
      </c>
      <c r="F183" s="405" t="s">
        <v>70</v>
      </c>
      <c r="G183" s="224">
        <v>110</v>
      </c>
      <c r="H183" s="225">
        <v>135</v>
      </c>
      <c r="I183" s="64">
        <f t="shared" si="2"/>
        <v>122.5</v>
      </c>
      <c r="J183" s="214" t="s">
        <v>558</v>
      </c>
      <c r="K183" s="210"/>
    </row>
    <row r="184" spans="1:11" ht="17.25">
      <c r="A184" s="222">
        <v>197</v>
      </c>
      <c r="B184" s="223" t="s">
        <v>68</v>
      </c>
      <c r="C184" s="223" t="s">
        <v>572</v>
      </c>
      <c r="D184" s="223"/>
      <c r="E184" s="223" t="s">
        <v>46</v>
      </c>
      <c r="F184" s="214" t="s">
        <v>70</v>
      </c>
      <c r="G184" s="285">
        <v>66</v>
      </c>
      <c r="H184" s="214">
        <v>73</v>
      </c>
      <c r="I184" s="64">
        <f t="shared" si="2"/>
        <v>69.5</v>
      </c>
      <c r="J184" s="214" t="s">
        <v>573</v>
      </c>
      <c r="K184" s="210"/>
    </row>
    <row r="185" spans="1:11" ht="17.25">
      <c r="A185" s="222">
        <v>198</v>
      </c>
      <c r="B185" s="223" t="s">
        <v>60</v>
      </c>
      <c r="C185" s="223" t="s">
        <v>574</v>
      </c>
      <c r="D185" s="223"/>
      <c r="E185" s="223" t="s">
        <v>46</v>
      </c>
      <c r="F185" s="214" t="s">
        <v>70</v>
      </c>
      <c r="G185" s="285">
        <v>35</v>
      </c>
      <c r="H185" s="214">
        <v>34</v>
      </c>
      <c r="I185" s="64">
        <f t="shared" si="2"/>
        <v>34.5</v>
      </c>
      <c r="J185" s="286" t="s">
        <v>575</v>
      </c>
      <c r="K185" s="210"/>
    </row>
    <row r="186" spans="1:11" ht="17.25">
      <c r="A186" s="222">
        <v>199</v>
      </c>
      <c r="B186" s="223" t="s">
        <v>60</v>
      </c>
      <c r="C186" s="223" t="s">
        <v>576</v>
      </c>
      <c r="D186" s="223"/>
      <c r="E186" s="223" t="s">
        <v>46</v>
      </c>
      <c r="F186" s="214" t="s">
        <v>44</v>
      </c>
      <c r="G186" s="285">
        <v>115</v>
      </c>
      <c r="H186" s="214">
        <v>185</v>
      </c>
      <c r="I186" s="64">
        <f t="shared" si="2"/>
        <v>150</v>
      </c>
      <c r="J186" s="287" t="s">
        <v>577</v>
      </c>
      <c r="K186" s="210"/>
    </row>
    <row r="187" spans="1:11" ht="17.25">
      <c r="A187" s="222">
        <v>200</v>
      </c>
      <c r="B187" s="223" t="s">
        <v>60</v>
      </c>
      <c r="C187" s="223" t="s">
        <v>578</v>
      </c>
      <c r="D187" s="223"/>
      <c r="E187" s="223" t="s">
        <v>46</v>
      </c>
      <c r="F187" s="214" t="s">
        <v>44</v>
      </c>
      <c r="G187" s="285">
        <v>37</v>
      </c>
      <c r="H187" s="214">
        <v>62</v>
      </c>
      <c r="I187" s="64">
        <f t="shared" si="2"/>
        <v>49.5</v>
      </c>
      <c r="J187" s="287" t="s">
        <v>579</v>
      </c>
      <c r="K187" s="210"/>
    </row>
    <row r="188" spans="1:11" ht="17.25">
      <c r="A188" s="222">
        <v>201</v>
      </c>
      <c r="B188" s="223" t="s">
        <v>68</v>
      </c>
      <c r="C188" s="223" t="s">
        <v>580</v>
      </c>
      <c r="D188" s="223"/>
      <c r="E188" s="223" t="s">
        <v>46</v>
      </c>
      <c r="F188" s="214" t="s">
        <v>70</v>
      </c>
      <c r="G188" s="285">
        <v>850</v>
      </c>
      <c r="H188" s="214">
        <v>941</v>
      </c>
      <c r="I188" s="64">
        <f t="shared" si="2"/>
        <v>895.5</v>
      </c>
      <c r="J188" s="287" t="s">
        <v>581</v>
      </c>
      <c r="K188" s="210"/>
    </row>
    <row r="189" spans="1:11" ht="17.25">
      <c r="A189" s="222">
        <v>202</v>
      </c>
      <c r="B189" s="223" t="s">
        <v>68</v>
      </c>
      <c r="C189" s="223" t="s">
        <v>582</v>
      </c>
      <c r="D189" s="223"/>
      <c r="E189" s="223" t="s">
        <v>46</v>
      </c>
      <c r="F189" s="214" t="s">
        <v>70</v>
      </c>
      <c r="G189" s="285">
        <v>760</v>
      </c>
      <c r="H189" s="214">
        <v>960</v>
      </c>
      <c r="I189" s="64">
        <f t="shared" si="2"/>
        <v>860</v>
      </c>
      <c r="J189" s="287" t="s">
        <v>583</v>
      </c>
      <c r="K189" s="210"/>
    </row>
    <row r="190" spans="1:11" ht="17.25">
      <c r="A190" s="222">
        <v>203</v>
      </c>
      <c r="B190" s="223" t="s">
        <v>62</v>
      </c>
      <c r="C190" s="223" t="s">
        <v>584</v>
      </c>
      <c r="D190" s="223"/>
      <c r="E190" s="223" t="s">
        <v>46</v>
      </c>
      <c r="F190" s="214" t="s">
        <v>44</v>
      </c>
      <c r="G190" s="285">
        <v>37</v>
      </c>
      <c r="H190" s="214">
        <v>35</v>
      </c>
      <c r="I190" s="64">
        <f t="shared" si="2"/>
        <v>36</v>
      </c>
      <c r="J190" s="287" t="s">
        <v>585</v>
      </c>
      <c r="K190" s="210"/>
    </row>
    <row r="191" spans="1:11" ht="17.25">
      <c r="A191" s="222">
        <v>204</v>
      </c>
      <c r="B191" s="223" t="s">
        <v>68</v>
      </c>
      <c r="C191" s="223" t="s">
        <v>586</v>
      </c>
      <c r="D191" s="223" t="s">
        <v>548</v>
      </c>
      <c r="E191" s="223" t="s">
        <v>46</v>
      </c>
      <c r="F191" s="214" t="s">
        <v>70</v>
      </c>
      <c r="G191" s="285">
        <v>432.77</v>
      </c>
      <c r="H191" s="214">
        <v>400</v>
      </c>
      <c r="I191" s="64">
        <f t="shared" si="2"/>
        <v>416.39</v>
      </c>
      <c r="J191" s="287" t="s">
        <v>587</v>
      </c>
      <c r="K191" s="210"/>
    </row>
    <row r="192" spans="1:11" ht="17.25">
      <c r="A192" s="222">
        <v>205</v>
      </c>
      <c r="B192" s="223" t="s">
        <v>60</v>
      </c>
      <c r="C192" s="223" t="s">
        <v>588</v>
      </c>
      <c r="D192" s="223" t="s">
        <v>539</v>
      </c>
      <c r="E192" s="223" t="s">
        <v>49</v>
      </c>
      <c r="F192" s="214" t="s">
        <v>49</v>
      </c>
      <c r="G192" s="285">
        <v>14.7</v>
      </c>
      <c r="H192" s="214">
        <v>12</v>
      </c>
      <c r="I192" s="64">
        <f t="shared" si="2"/>
        <v>13.35</v>
      </c>
      <c r="J192" s="288" t="s">
        <v>589</v>
      </c>
      <c r="K192" s="210"/>
    </row>
    <row r="193" spans="1:11" ht="17.25">
      <c r="A193" s="222">
        <v>206</v>
      </c>
      <c r="B193" s="223" t="s">
        <v>68</v>
      </c>
      <c r="C193" s="223" t="s">
        <v>590</v>
      </c>
      <c r="D193" s="223" t="s">
        <v>548</v>
      </c>
      <c r="E193" s="223" t="s">
        <v>46</v>
      </c>
      <c r="F193" s="214" t="s">
        <v>70</v>
      </c>
      <c r="G193" s="285">
        <v>900</v>
      </c>
      <c r="H193" s="214">
        <v>800</v>
      </c>
      <c r="I193" s="64">
        <f t="shared" si="2"/>
        <v>850</v>
      </c>
      <c r="J193" s="287" t="s">
        <v>591</v>
      </c>
      <c r="K193" s="210"/>
    </row>
    <row r="194" spans="1:11" ht="17.25">
      <c r="A194" s="222">
        <v>207</v>
      </c>
      <c r="B194" s="223" t="s">
        <v>68</v>
      </c>
      <c r="C194" s="223" t="s">
        <v>592</v>
      </c>
      <c r="D194" s="223" t="s">
        <v>302</v>
      </c>
      <c r="E194" s="223" t="s">
        <v>46</v>
      </c>
      <c r="F194" s="214" t="s">
        <v>70</v>
      </c>
      <c r="G194" s="285">
        <v>130</v>
      </c>
      <c r="H194" s="214">
        <v>110</v>
      </c>
      <c r="I194" s="64">
        <f t="shared" si="2"/>
        <v>120</v>
      </c>
      <c r="J194" s="287" t="s">
        <v>593</v>
      </c>
      <c r="K194" s="210"/>
    </row>
    <row r="195" spans="1:11" ht="17.25">
      <c r="A195" s="227">
        <v>208</v>
      </c>
      <c r="B195" s="209" t="s">
        <v>60</v>
      </c>
      <c r="C195" s="209" t="s">
        <v>594</v>
      </c>
      <c r="D195" s="226"/>
      <c r="E195" s="209" t="s">
        <v>46</v>
      </c>
      <c r="F195" s="209" t="s">
        <v>70</v>
      </c>
      <c r="G195" s="228">
        <v>12.4</v>
      </c>
      <c r="H195" s="225">
        <v>15.35</v>
      </c>
      <c r="I195" s="64">
        <f t="shared" si="2"/>
        <v>13.88</v>
      </c>
      <c r="J195" s="226" t="s">
        <v>595</v>
      </c>
      <c r="K195" s="210"/>
    </row>
    <row r="196" spans="1:11" ht="17.25">
      <c r="A196" s="227">
        <v>209</v>
      </c>
      <c r="B196" s="209" t="s">
        <v>138</v>
      </c>
      <c r="C196" s="209" t="s">
        <v>596</v>
      </c>
      <c r="D196" s="226"/>
      <c r="E196" s="209" t="s">
        <v>46</v>
      </c>
      <c r="F196" s="406" t="s">
        <v>70</v>
      </c>
      <c r="G196" s="228">
        <v>5.95</v>
      </c>
      <c r="H196" s="225">
        <v>5.45</v>
      </c>
      <c r="I196" s="64">
        <f t="shared" si="2"/>
        <v>5.7</v>
      </c>
      <c r="J196" s="226" t="s">
        <v>597</v>
      </c>
      <c r="K196" s="210"/>
    </row>
    <row r="197" spans="1:11" ht="17.25">
      <c r="A197" s="222">
        <v>210</v>
      </c>
      <c r="B197" s="223" t="s">
        <v>60</v>
      </c>
      <c r="C197" s="223" t="s">
        <v>598</v>
      </c>
      <c r="D197" s="223" t="s">
        <v>548</v>
      </c>
      <c r="E197" s="223" t="s">
        <v>46</v>
      </c>
      <c r="F197" s="214" t="s">
        <v>44</v>
      </c>
      <c r="G197" s="285">
        <v>53.1</v>
      </c>
      <c r="H197" s="214">
        <v>49</v>
      </c>
      <c r="I197" s="64">
        <f t="shared" si="2"/>
        <v>51.05</v>
      </c>
      <c r="J197" s="287" t="s">
        <v>928</v>
      </c>
      <c r="K197" s="210"/>
    </row>
    <row r="198" spans="1:11" s="216" customFormat="1" ht="17.25">
      <c r="A198" s="222">
        <v>211</v>
      </c>
      <c r="B198" s="223" t="s">
        <v>68</v>
      </c>
      <c r="C198" s="223" t="s">
        <v>828</v>
      </c>
      <c r="D198" s="223" t="s">
        <v>539</v>
      </c>
      <c r="E198" s="223" t="s">
        <v>46</v>
      </c>
      <c r="F198" s="214" t="s">
        <v>70</v>
      </c>
      <c r="G198" s="285">
        <v>1000</v>
      </c>
      <c r="H198" s="214">
        <v>900</v>
      </c>
      <c r="I198" s="64">
        <f t="shared" si="2"/>
        <v>950</v>
      </c>
      <c r="J198" s="287" t="s">
        <v>829</v>
      </c>
      <c r="K198" s="210"/>
    </row>
    <row r="199" spans="1:11" ht="15">
      <c r="A199" s="222">
        <v>212</v>
      </c>
      <c r="B199" s="223" t="s">
        <v>62</v>
      </c>
      <c r="C199" s="223" t="s">
        <v>865</v>
      </c>
      <c r="D199" s="223" t="s">
        <v>310</v>
      </c>
      <c r="E199" s="223" t="s">
        <v>70</v>
      </c>
      <c r="F199" s="214" t="s">
        <v>70</v>
      </c>
      <c r="G199" s="285">
        <v>3.85</v>
      </c>
      <c r="H199" s="214">
        <v>3.45</v>
      </c>
      <c r="I199" s="64">
        <f aca="true" t="shared" si="3" ref="I199:I209">ROUND(IF(G199=0,H199,IF(H199=0,G199,AVERAGE(G199,H199))),2)</f>
        <v>3.65</v>
      </c>
      <c r="J199" s="287" t="s">
        <v>866</v>
      </c>
      <c r="K199" s="398"/>
    </row>
    <row r="200" spans="1:11" ht="15">
      <c r="A200" s="222">
        <v>213</v>
      </c>
      <c r="B200" s="223" t="s">
        <v>62</v>
      </c>
      <c r="C200" s="223" t="s">
        <v>867</v>
      </c>
      <c r="D200" s="223" t="s">
        <v>300</v>
      </c>
      <c r="E200" s="223" t="s">
        <v>49</v>
      </c>
      <c r="F200" s="214" t="s">
        <v>49</v>
      </c>
      <c r="G200" s="285">
        <v>34</v>
      </c>
      <c r="H200" s="214">
        <v>45</v>
      </c>
      <c r="I200" s="64">
        <f t="shared" si="3"/>
        <v>39.5</v>
      </c>
      <c r="J200" s="399" t="s">
        <v>868</v>
      </c>
      <c r="K200" s="398"/>
    </row>
    <row r="201" spans="1:11" ht="15">
      <c r="A201" s="222">
        <v>214</v>
      </c>
      <c r="B201" s="223" t="s">
        <v>62</v>
      </c>
      <c r="C201" s="223" t="s">
        <v>869</v>
      </c>
      <c r="D201" s="223" t="s">
        <v>539</v>
      </c>
      <c r="E201" s="223" t="s">
        <v>46</v>
      </c>
      <c r="F201" s="214" t="s">
        <v>44</v>
      </c>
      <c r="G201" s="285">
        <v>98</v>
      </c>
      <c r="H201" s="214">
        <v>90</v>
      </c>
      <c r="I201" s="64">
        <f t="shared" si="3"/>
        <v>94</v>
      </c>
      <c r="J201" s="399" t="s">
        <v>929</v>
      </c>
      <c r="K201" s="398"/>
    </row>
    <row r="202" spans="1:11" ht="15">
      <c r="A202" s="222">
        <v>215</v>
      </c>
      <c r="B202" s="223" t="s">
        <v>921</v>
      </c>
      <c r="C202" s="223" t="s">
        <v>922</v>
      </c>
      <c r="D202" s="223" t="s">
        <v>548</v>
      </c>
      <c r="E202" s="223" t="s">
        <v>46</v>
      </c>
      <c r="F202" s="214" t="s">
        <v>70</v>
      </c>
      <c r="G202" s="214">
        <v>585</v>
      </c>
      <c r="H202" s="214">
        <v>600</v>
      </c>
      <c r="I202" s="64">
        <f t="shared" si="3"/>
        <v>592.5</v>
      </c>
      <c r="J202" s="223" t="s">
        <v>930</v>
      </c>
      <c r="K202" s="398"/>
    </row>
    <row r="203" spans="1:11" ht="15">
      <c r="A203" s="222">
        <v>216</v>
      </c>
      <c r="B203" s="223" t="s">
        <v>62</v>
      </c>
      <c r="C203" s="223" t="s">
        <v>931</v>
      </c>
      <c r="D203" s="223" t="s">
        <v>932</v>
      </c>
      <c r="E203" s="223" t="s">
        <v>49</v>
      </c>
      <c r="F203" s="214" t="s">
        <v>49</v>
      </c>
      <c r="G203" s="285">
        <v>4.85</v>
      </c>
      <c r="H203" s="214">
        <v>5.5</v>
      </c>
      <c r="I203" s="64">
        <f t="shared" si="3"/>
        <v>5.18</v>
      </c>
      <c r="J203" s="399" t="s">
        <v>933</v>
      </c>
      <c r="K203" s="235"/>
    </row>
    <row r="204" spans="1:11" ht="15">
      <c r="A204" s="222">
        <v>217</v>
      </c>
      <c r="B204" s="223" t="s">
        <v>62</v>
      </c>
      <c r="C204" s="223" t="s">
        <v>945</v>
      </c>
      <c r="D204" s="223" t="s">
        <v>305</v>
      </c>
      <c r="E204" s="223" t="s">
        <v>46</v>
      </c>
      <c r="F204" s="214" t="s">
        <v>70</v>
      </c>
      <c r="G204" s="285">
        <v>700</v>
      </c>
      <c r="H204" s="214">
        <v>800</v>
      </c>
      <c r="I204" s="64">
        <f t="shared" si="3"/>
        <v>750</v>
      </c>
      <c r="J204" s="399" t="s">
        <v>946</v>
      </c>
      <c r="K204" s="235"/>
    </row>
    <row r="205" spans="1:11" ht="15">
      <c r="A205" s="222">
        <v>218</v>
      </c>
      <c r="B205" s="223" t="s">
        <v>68</v>
      </c>
      <c r="C205" s="223" t="s">
        <v>947</v>
      </c>
      <c r="D205" s="223" t="s">
        <v>948</v>
      </c>
      <c r="E205" s="223" t="s">
        <v>70</v>
      </c>
      <c r="F205" s="214" t="s">
        <v>70</v>
      </c>
      <c r="G205" s="285">
        <v>5.9</v>
      </c>
      <c r="H205" s="214">
        <v>5.9</v>
      </c>
      <c r="I205" s="64">
        <f t="shared" si="3"/>
        <v>5.9</v>
      </c>
      <c r="J205" s="286" t="s">
        <v>949</v>
      </c>
      <c r="K205" s="235"/>
    </row>
    <row r="206" spans="1:11" ht="15">
      <c r="A206" s="487">
        <v>219</v>
      </c>
      <c r="B206" s="334" t="s">
        <v>60</v>
      </c>
      <c r="C206" s="334" t="s">
        <v>950</v>
      </c>
      <c r="D206" s="288"/>
      <c r="E206" s="334" t="s">
        <v>46</v>
      </c>
      <c r="F206" s="451" t="s">
        <v>44</v>
      </c>
      <c r="G206" s="228">
        <v>112</v>
      </c>
      <c r="H206" s="225">
        <v>112</v>
      </c>
      <c r="I206" s="64">
        <f t="shared" si="3"/>
        <v>112</v>
      </c>
      <c r="J206" s="288" t="s">
        <v>951</v>
      </c>
      <c r="K206" s="235"/>
    </row>
    <row r="207" spans="1:11" ht="15">
      <c r="A207" s="222">
        <v>220</v>
      </c>
      <c r="B207" s="223" t="s">
        <v>62</v>
      </c>
      <c r="C207" s="223" t="s">
        <v>952</v>
      </c>
      <c r="D207" s="223" t="s">
        <v>300</v>
      </c>
      <c r="E207" s="223" t="s">
        <v>70</v>
      </c>
      <c r="F207" s="214" t="s">
        <v>70</v>
      </c>
      <c r="G207" s="285">
        <v>5.7</v>
      </c>
      <c r="H207" s="214">
        <v>5.7</v>
      </c>
      <c r="I207" s="64">
        <f t="shared" si="3"/>
        <v>5.7</v>
      </c>
      <c r="J207" s="286" t="s">
        <v>953</v>
      </c>
      <c r="K207" s="235"/>
    </row>
    <row r="208" spans="1:11" ht="15">
      <c r="A208" s="222">
        <v>221</v>
      </c>
      <c r="B208" s="223" t="s">
        <v>68</v>
      </c>
      <c r="C208" s="223" t="s">
        <v>976</v>
      </c>
      <c r="D208" s="223" t="s">
        <v>310</v>
      </c>
      <c r="E208" s="223" t="s">
        <v>70</v>
      </c>
      <c r="F208" s="214" t="s">
        <v>70</v>
      </c>
      <c r="G208" s="285">
        <v>7</v>
      </c>
      <c r="H208" s="214">
        <v>6.61</v>
      </c>
      <c r="I208" s="64">
        <f t="shared" si="3"/>
        <v>6.81</v>
      </c>
      <c r="J208" s="286" t="s">
        <v>977</v>
      </c>
      <c r="K208" s="235"/>
    </row>
    <row r="209" spans="1:11" ht="15">
      <c r="A209" s="222">
        <v>222</v>
      </c>
      <c r="B209" s="223" t="s">
        <v>68</v>
      </c>
      <c r="C209" s="223" t="s">
        <v>978</v>
      </c>
      <c r="D209" s="223" t="s">
        <v>979</v>
      </c>
      <c r="E209" s="223" t="s">
        <v>46</v>
      </c>
      <c r="F209" s="214" t="s">
        <v>70</v>
      </c>
      <c r="G209" s="285">
        <v>135</v>
      </c>
      <c r="H209" s="214">
        <v>140</v>
      </c>
      <c r="I209" s="64">
        <f t="shared" si="3"/>
        <v>137.5</v>
      </c>
      <c r="J209" s="286" t="s">
        <v>980</v>
      </c>
      <c r="K209" s="235"/>
    </row>
    <row r="210" spans="1:11" ht="15" thickBot="1">
      <c r="A210" s="237">
        <v>223</v>
      </c>
      <c r="B210" s="238" t="s">
        <v>68</v>
      </c>
      <c r="C210" s="238" t="s">
        <v>981</v>
      </c>
      <c r="D210" s="238"/>
      <c r="E210" s="238" t="s">
        <v>70</v>
      </c>
      <c r="F210" s="238" t="s">
        <v>70</v>
      </c>
      <c r="G210" s="508">
        <v>2.53</v>
      </c>
      <c r="H210" s="238">
        <v>2.53</v>
      </c>
      <c r="I210" s="239">
        <f>ROUND(IF(G210=0,H210,IF(H210=0,G210,AVERAGE(G210,H210))),2)</f>
        <v>2.53</v>
      </c>
      <c r="J210" s="509" t="s">
        <v>982</v>
      </c>
      <c r="K210" s="235"/>
    </row>
    <row r="211" spans="1:11" ht="15.75" thickBot="1" thickTop="1">
      <c r="A211" s="222">
        <v>224</v>
      </c>
      <c r="B211" s="223" t="s">
        <v>60</v>
      </c>
      <c r="C211" s="223" t="s">
        <v>983</v>
      </c>
      <c r="D211" s="223" t="s">
        <v>310</v>
      </c>
      <c r="E211" s="223" t="s">
        <v>46</v>
      </c>
      <c r="F211" s="214" t="s">
        <v>44</v>
      </c>
      <c r="G211" s="285">
        <v>25.5</v>
      </c>
      <c r="H211" s="214">
        <v>23.55</v>
      </c>
      <c r="I211" s="239">
        <f aca="true" t="shared" si="4" ref="I211:I219">ROUND(IF(G211=0,H211,IF(H211=0,G211,AVERAGE(G211,H211))),2)</f>
        <v>24.53</v>
      </c>
      <c r="J211" s="286" t="s">
        <v>984</v>
      </c>
      <c r="K211" s="235"/>
    </row>
    <row r="212" spans="1:11" ht="15.75" thickBot="1" thickTop="1">
      <c r="A212" s="222">
        <v>225</v>
      </c>
      <c r="B212" s="223" t="s">
        <v>60</v>
      </c>
      <c r="C212" s="223" t="s">
        <v>985</v>
      </c>
      <c r="D212" s="223"/>
      <c r="E212" s="223" t="s">
        <v>46</v>
      </c>
      <c r="F212" s="214" t="s">
        <v>70</v>
      </c>
      <c r="G212" s="285">
        <v>89.09</v>
      </c>
      <c r="H212" s="214">
        <v>100</v>
      </c>
      <c r="I212" s="239">
        <f t="shared" si="4"/>
        <v>94.55</v>
      </c>
      <c r="J212" s="286" t="s">
        <v>986</v>
      </c>
      <c r="K212" s="235"/>
    </row>
    <row r="213" spans="1:11" ht="15.75" thickBot="1" thickTop="1">
      <c r="A213" s="222">
        <v>226</v>
      </c>
      <c r="B213" s="223" t="s">
        <v>60</v>
      </c>
      <c r="C213" s="223" t="s">
        <v>987</v>
      </c>
      <c r="D213" s="223"/>
      <c r="E213" s="223" t="s">
        <v>46</v>
      </c>
      <c r="F213" s="214" t="s">
        <v>70</v>
      </c>
      <c r="G213" s="285">
        <v>60.54</v>
      </c>
      <c r="H213" s="214">
        <v>69.95</v>
      </c>
      <c r="I213" s="239">
        <f t="shared" si="4"/>
        <v>65.25</v>
      </c>
      <c r="J213" s="286" t="s">
        <v>986</v>
      </c>
      <c r="K213" s="235"/>
    </row>
    <row r="214" spans="1:11" ht="15.75" thickBot="1" thickTop="1">
      <c r="A214" s="510">
        <v>227</v>
      </c>
      <c r="B214" s="294" t="s">
        <v>60</v>
      </c>
      <c r="C214" s="294" t="s">
        <v>988</v>
      </c>
      <c r="D214" s="294" t="s">
        <v>539</v>
      </c>
      <c r="E214" s="294" t="s">
        <v>46</v>
      </c>
      <c r="F214" s="294" t="s">
        <v>70</v>
      </c>
      <c r="G214" s="511">
        <v>77.6</v>
      </c>
      <c r="H214" s="294">
        <v>65</v>
      </c>
      <c r="I214" s="239">
        <f t="shared" si="4"/>
        <v>71.3</v>
      </c>
      <c r="J214" s="512" t="s">
        <v>989</v>
      </c>
      <c r="K214" s="235"/>
    </row>
    <row r="215" spans="1:11" ht="15.75" thickBot="1" thickTop="1">
      <c r="A215" s="222">
        <v>228</v>
      </c>
      <c r="B215" s="294" t="s">
        <v>60</v>
      </c>
      <c r="C215" s="294" t="s">
        <v>990</v>
      </c>
      <c r="D215" s="294"/>
      <c r="E215" s="294" t="s">
        <v>46</v>
      </c>
      <c r="F215" s="294"/>
      <c r="G215" s="511">
        <v>840.11</v>
      </c>
      <c r="H215" s="294">
        <v>750</v>
      </c>
      <c r="I215" s="239">
        <f t="shared" si="4"/>
        <v>795.06</v>
      </c>
      <c r="J215" s="512"/>
      <c r="K215" s="235"/>
    </row>
    <row r="216" spans="1:11" ht="15.75" thickBot="1" thickTop="1">
      <c r="A216" s="222">
        <v>229</v>
      </c>
      <c r="B216" s="294" t="s">
        <v>60</v>
      </c>
      <c r="C216" s="294" t="s">
        <v>355</v>
      </c>
      <c r="D216" s="294"/>
      <c r="E216" s="294" t="s">
        <v>46</v>
      </c>
      <c r="F216" s="294"/>
      <c r="G216" s="511">
        <v>103.45</v>
      </c>
      <c r="H216" s="294"/>
      <c r="I216" s="239">
        <f t="shared" si="4"/>
        <v>103.45</v>
      </c>
      <c r="J216" s="512"/>
      <c r="K216" s="235"/>
    </row>
    <row r="217" spans="1:11" ht="15.75" thickBot="1" thickTop="1">
      <c r="A217" s="222">
        <v>230</v>
      </c>
      <c r="B217" s="294" t="s">
        <v>60</v>
      </c>
      <c r="C217" s="294" t="s">
        <v>514</v>
      </c>
      <c r="D217" s="294"/>
      <c r="E217" s="294" t="s">
        <v>46</v>
      </c>
      <c r="F217" s="294"/>
      <c r="G217" s="511">
        <v>74.45</v>
      </c>
      <c r="H217" s="294">
        <v>72</v>
      </c>
      <c r="I217" s="239">
        <f t="shared" si="4"/>
        <v>73.23</v>
      </c>
      <c r="J217" s="512"/>
      <c r="K217" s="235"/>
    </row>
    <row r="218" spans="1:11" ht="15.75" thickBot="1" thickTop="1">
      <c r="A218" s="510">
        <v>231</v>
      </c>
      <c r="B218" s="294" t="s">
        <v>60</v>
      </c>
      <c r="C218" s="294" t="s">
        <v>991</v>
      </c>
      <c r="D218" s="294"/>
      <c r="E218" s="294" t="s">
        <v>46</v>
      </c>
      <c r="F218" s="294"/>
      <c r="G218" s="511">
        <v>11.6</v>
      </c>
      <c r="H218" s="294">
        <v>12.85</v>
      </c>
      <c r="I218" s="239">
        <f t="shared" si="4"/>
        <v>12.23</v>
      </c>
      <c r="J218" s="512" t="s">
        <v>992</v>
      </c>
      <c r="K218" s="235"/>
    </row>
    <row r="219" spans="1:11" ht="15.75" thickBot="1" thickTop="1">
      <c r="A219" s="222">
        <v>232</v>
      </c>
      <c r="B219" s="294" t="s">
        <v>60</v>
      </c>
      <c r="C219" s="294" t="s">
        <v>594</v>
      </c>
      <c r="D219" s="294"/>
      <c r="E219" s="294"/>
      <c r="F219" s="294"/>
      <c r="G219" s="511"/>
      <c r="H219" s="294"/>
      <c r="I219" s="239">
        <f t="shared" si="4"/>
        <v>0</v>
      </c>
      <c r="J219" s="512"/>
      <c r="K219" s="235"/>
    </row>
    <row r="220" spans="1:11" ht="15" thickTop="1">
      <c r="A220" s="222">
        <v>233</v>
      </c>
      <c r="B220" s="216"/>
      <c r="C220" s="216"/>
      <c r="D220" s="216"/>
      <c r="E220" s="216"/>
      <c r="F220" s="216"/>
      <c r="G220" s="216"/>
      <c r="H220" s="216"/>
      <c r="I220" s="216"/>
      <c r="J220" s="216"/>
      <c r="K220" s="235"/>
    </row>
    <row r="221" spans="1:11" ht="15">
      <c r="A221" s="222">
        <v>234</v>
      </c>
      <c r="B221" s="216"/>
      <c r="C221" s="216"/>
      <c r="D221" s="216"/>
      <c r="E221" s="216"/>
      <c r="F221" s="216"/>
      <c r="G221" s="216"/>
      <c r="H221" s="216"/>
      <c r="I221" s="216"/>
      <c r="J221" s="216"/>
      <c r="K221" s="235"/>
    </row>
    <row r="222" spans="1:11" ht="15">
      <c r="A222" s="510">
        <v>235</v>
      </c>
      <c r="B222" s="294"/>
      <c r="C222" s="294"/>
      <c r="D222" s="294"/>
      <c r="E222" s="294"/>
      <c r="F222" s="294"/>
      <c r="G222" s="511"/>
      <c r="H222" s="294"/>
      <c r="I222" s="221"/>
      <c r="J222" s="512"/>
      <c r="K222" s="235"/>
    </row>
    <row r="223" spans="1:11" ht="15">
      <c r="A223" s="222">
        <v>236</v>
      </c>
      <c r="B223" s="216"/>
      <c r="C223" s="216"/>
      <c r="D223" s="216"/>
      <c r="E223" s="216"/>
      <c r="F223" s="216"/>
      <c r="G223" s="216"/>
      <c r="H223" s="216"/>
      <c r="I223" s="216"/>
      <c r="J223" s="216"/>
      <c r="K223" s="235"/>
    </row>
    <row r="224" spans="1:11" ht="15">
      <c r="A224" s="222">
        <v>237</v>
      </c>
      <c r="B224" s="216"/>
      <c r="C224" s="216"/>
      <c r="D224" s="216"/>
      <c r="E224" s="216"/>
      <c r="F224" s="216"/>
      <c r="G224" s="216"/>
      <c r="H224" s="216"/>
      <c r="I224" s="216"/>
      <c r="J224" s="216"/>
      <c r="K224" s="235"/>
    </row>
    <row r="225" spans="1:11" ht="15">
      <c r="A225" s="222">
        <v>238</v>
      </c>
      <c r="B225" s="216"/>
      <c r="C225" s="216"/>
      <c r="D225" s="216"/>
      <c r="E225" s="216"/>
      <c r="F225" s="216"/>
      <c r="G225" s="216"/>
      <c r="H225" s="216"/>
      <c r="I225" s="216"/>
      <c r="J225" s="216"/>
      <c r="K225" s="235"/>
    </row>
    <row r="226" spans="1:11" ht="15">
      <c r="A226" s="510">
        <v>239</v>
      </c>
      <c r="B226" s="216"/>
      <c r="C226" s="216"/>
      <c r="D226" s="216"/>
      <c r="E226" s="216"/>
      <c r="F226" s="216"/>
      <c r="G226" s="216"/>
      <c r="H226" s="216"/>
      <c r="I226" s="216"/>
      <c r="J226" s="216"/>
      <c r="K226" s="235"/>
    </row>
    <row r="227" spans="1:11" ht="15">
      <c r="A227" s="222">
        <v>240</v>
      </c>
      <c r="B227" s="294"/>
      <c r="C227" s="294"/>
      <c r="D227" s="294"/>
      <c r="E227" s="294"/>
      <c r="F227" s="294"/>
      <c r="G227" s="511"/>
      <c r="H227" s="294"/>
      <c r="I227" s="221"/>
      <c r="J227" s="512"/>
      <c r="K227" s="235"/>
    </row>
    <row r="228" spans="1:11" ht="15">
      <c r="A228" s="222">
        <v>241</v>
      </c>
      <c r="B228" s="294"/>
      <c r="C228" s="294"/>
      <c r="D228" s="294"/>
      <c r="E228" s="294"/>
      <c r="F228" s="294"/>
      <c r="G228" s="511"/>
      <c r="H228" s="294"/>
      <c r="I228" s="221"/>
      <c r="J228" s="512"/>
      <c r="K228" s="235"/>
    </row>
    <row r="229" spans="1:11" ht="15">
      <c r="A229" s="222">
        <v>242</v>
      </c>
      <c r="B229" s="68"/>
      <c r="C229" s="68"/>
      <c r="D229" s="68"/>
      <c r="E229" s="68"/>
      <c r="F229" s="68"/>
      <c r="G229" s="68"/>
      <c r="H229" s="68"/>
      <c r="I229" s="68"/>
      <c r="J229" s="217"/>
      <c r="K229" s="235"/>
    </row>
    <row r="230" spans="1:11" ht="15">
      <c r="A230" s="510">
        <v>243</v>
      </c>
      <c r="B230" s="217"/>
      <c r="C230" s="217"/>
      <c r="D230" s="217"/>
      <c r="E230" s="217"/>
      <c r="F230" s="240"/>
      <c r="G230" s="241"/>
      <c r="H230" s="217"/>
      <c r="I230" s="236"/>
      <c r="J230" s="217"/>
      <c r="K230" s="235"/>
    </row>
    <row r="231" spans="1:11" ht="17.25">
      <c r="A231" s="222">
        <v>244</v>
      </c>
      <c r="B231" s="217"/>
      <c r="C231" s="217"/>
      <c r="D231" s="217"/>
      <c r="E231" s="217"/>
      <c r="F231" s="217"/>
      <c r="G231" s="241"/>
      <c r="H231" s="217"/>
      <c r="I231" s="236"/>
      <c r="J231" s="488"/>
      <c r="K231" s="217"/>
    </row>
    <row r="232" spans="1:11" ht="15">
      <c r="A232" s="222">
        <v>245</v>
      </c>
      <c r="B232" s="217"/>
      <c r="C232" s="217"/>
      <c r="D232" s="217"/>
      <c r="E232" s="217"/>
      <c r="F232" s="217"/>
      <c r="G232" s="232"/>
      <c r="H232" s="217"/>
      <c r="I232" s="236"/>
      <c r="J232" s="217"/>
      <c r="K232" s="217"/>
    </row>
    <row r="233" spans="1:11" ht="15">
      <c r="A233" s="222">
        <v>246</v>
      </c>
      <c r="B233" s="217"/>
      <c r="C233" s="217"/>
      <c r="D233" s="217"/>
      <c r="E233" s="217"/>
      <c r="F233" s="217"/>
      <c r="G233" s="232"/>
      <c r="H233" s="217"/>
      <c r="I233" s="236"/>
      <c r="J233" s="217"/>
      <c r="K233" s="217"/>
    </row>
    <row r="234" spans="1:11" ht="15">
      <c r="A234" s="510">
        <v>247</v>
      </c>
      <c r="B234" s="217"/>
      <c r="C234" s="217"/>
      <c r="D234" s="217"/>
      <c r="E234" s="217"/>
      <c r="F234" s="217"/>
      <c r="G234" s="371"/>
      <c r="H234" s="217"/>
      <c r="I234" s="236"/>
      <c r="J234" s="217"/>
      <c r="K234" s="217"/>
    </row>
    <row r="235" spans="1:11" ht="15">
      <c r="A235" s="222">
        <v>248</v>
      </c>
      <c r="B235" s="217"/>
      <c r="C235" s="217"/>
      <c r="D235" s="217"/>
      <c r="E235" s="217"/>
      <c r="F235" s="217"/>
      <c r="G235" s="232"/>
      <c r="H235" s="217"/>
      <c r="I235" s="236"/>
      <c r="J235" s="217"/>
      <c r="K235" s="217"/>
    </row>
    <row r="236" spans="1:11" ht="15">
      <c r="A236" s="222">
        <v>249</v>
      </c>
      <c r="B236" s="217"/>
      <c r="C236" s="217"/>
      <c r="D236" s="217"/>
      <c r="E236" s="217"/>
      <c r="F236" s="217"/>
      <c r="G236" s="232"/>
      <c r="H236" s="217"/>
      <c r="I236" s="236"/>
      <c r="J236" s="217"/>
      <c r="K236" s="217"/>
    </row>
    <row r="237" spans="1:11" ht="15">
      <c r="A237" s="222">
        <v>250</v>
      </c>
      <c r="B237" s="217"/>
      <c r="C237" s="217"/>
      <c r="D237" s="217"/>
      <c r="E237" s="217"/>
      <c r="F237" s="217"/>
      <c r="G237" s="232"/>
      <c r="H237" s="217"/>
      <c r="I237" s="236"/>
      <c r="J237" s="217"/>
      <c r="K237" s="217"/>
    </row>
    <row r="238" spans="1:11" ht="15">
      <c r="A238" s="510">
        <v>251</v>
      </c>
      <c r="B238" s="217"/>
      <c r="C238" s="217"/>
      <c r="D238" s="217"/>
      <c r="E238" s="217"/>
      <c r="F238" s="217"/>
      <c r="G238" s="232"/>
      <c r="H238" s="217"/>
      <c r="I238" s="236"/>
      <c r="J238" s="217"/>
      <c r="K238" s="217"/>
    </row>
    <row r="239" spans="1:11" ht="15">
      <c r="A239" s="222">
        <v>252</v>
      </c>
      <c r="B239" s="217"/>
      <c r="C239" s="217"/>
      <c r="D239" s="217"/>
      <c r="E239" s="217"/>
      <c r="F239" s="217"/>
      <c r="G239" s="232"/>
      <c r="H239" s="217"/>
      <c r="I239" s="236"/>
      <c r="J239" s="217"/>
      <c r="K239" s="217"/>
    </row>
    <row r="240" spans="1:11" ht="15">
      <c r="A240" s="222">
        <v>253</v>
      </c>
      <c r="B240" s="217"/>
      <c r="C240" s="217"/>
      <c r="D240" s="217"/>
      <c r="E240" s="217"/>
      <c r="F240" s="217"/>
      <c r="G240" s="232"/>
      <c r="H240" s="217"/>
      <c r="I240" s="236"/>
      <c r="J240" s="217"/>
      <c r="K240" s="217"/>
    </row>
    <row r="241" spans="1:11" ht="15">
      <c r="A241" s="222">
        <v>254</v>
      </c>
      <c r="B241" s="217"/>
      <c r="C241" s="217"/>
      <c r="D241" s="217"/>
      <c r="E241" s="217"/>
      <c r="F241" s="217"/>
      <c r="G241" s="232"/>
      <c r="H241" s="217"/>
      <c r="I241" s="236"/>
      <c r="J241" s="217"/>
      <c r="K241" s="217"/>
    </row>
    <row r="242" spans="1:11" ht="15">
      <c r="A242" s="510">
        <v>255</v>
      </c>
      <c r="B242" s="217"/>
      <c r="C242" s="217"/>
      <c r="D242" s="217"/>
      <c r="E242" s="217"/>
      <c r="F242" s="217"/>
      <c r="G242" s="232"/>
      <c r="H242" s="217"/>
      <c r="I242" s="236"/>
      <c r="J242" s="217"/>
      <c r="K242" s="217"/>
    </row>
    <row r="243" spans="1:11" ht="15">
      <c r="A243" s="222">
        <v>256</v>
      </c>
      <c r="B243" s="217"/>
      <c r="C243" s="217"/>
      <c r="D243" s="217"/>
      <c r="E243" s="217"/>
      <c r="F243" s="217"/>
      <c r="G243" s="232"/>
      <c r="H243" s="217"/>
      <c r="I243" s="236"/>
      <c r="J243" s="217"/>
      <c r="K243" s="217"/>
    </row>
    <row r="244" spans="1:11" ht="15">
      <c r="A244" s="222">
        <v>257</v>
      </c>
      <c r="B244" s="217"/>
      <c r="C244" s="217"/>
      <c r="D244" s="217"/>
      <c r="E244" s="217"/>
      <c r="F244" s="217"/>
      <c r="G244" s="232"/>
      <c r="H244" s="217"/>
      <c r="I244" s="236"/>
      <c r="J244" s="217"/>
      <c r="K244" s="217"/>
    </row>
    <row r="245" spans="1:11" ht="15">
      <c r="A245" s="227"/>
      <c r="B245" s="217"/>
      <c r="C245" s="217"/>
      <c r="D245" s="217"/>
      <c r="E245" s="217"/>
      <c r="F245" s="217"/>
      <c r="G245" s="232"/>
      <c r="H245" s="217"/>
      <c r="I245" s="236"/>
      <c r="J245" s="217"/>
      <c r="K245" s="217"/>
    </row>
    <row r="246" spans="1:11" ht="15">
      <c r="A246" s="227"/>
      <c r="B246" s="217"/>
      <c r="C246" s="217"/>
      <c r="D246" s="217"/>
      <c r="E246" s="217"/>
      <c r="F246" s="217"/>
      <c r="G246" s="232"/>
      <c r="H246" s="217"/>
      <c r="I246" s="236"/>
      <c r="J246" s="217"/>
      <c r="K246" s="217"/>
    </row>
    <row r="247" spans="1:11" ht="15">
      <c r="A247" s="227"/>
      <c r="B247" s="217"/>
      <c r="C247" s="217"/>
      <c r="D247" s="217"/>
      <c r="E247" s="217"/>
      <c r="F247" s="217"/>
      <c r="G247" s="232"/>
      <c r="H247" s="217"/>
      <c r="I247" s="236"/>
      <c r="J247" s="217"/>
      <c r="K247" s="217"/>
    </row>
    <row r="248" spans="1:11" ht="15">
      <c r="A248" s="227"/>
      <c r="B248" s="217"/>
      <c r="C248" s="217"/>
      <c r="D248" s="217"/>
      <c r="E248" s="217"/>
      <c r="F248" s="217"/>
      <c r="G248" s="232"/>
      <c r="H248" s="217"/>
      <c r="I248" s="236"/>
      <c r="J248" s="217"/>
      <c r="K248" s="217"/>
    </row>
    <row r="249" spans="1:11" ht="15">
      <c r="A249" s="227"/>
      <c r="B249" s="217"/>
      <c r="C249" s="217"/>
      <c r="D249" s="217"/>
      <c r="E249" s="217"/>
      <c r="F249" s="217"/>
      <c r="G249" s="232"/>
      <c r="H249" s="217"/>
      <c r="I249" s="236"/>
      <c r="J249" s="217"/>
      <c r="K249" s="217"/>
    </row>
    <row r="250" spans="1:11" ht="15">
      <c r="A250" s="227"/>
      <c r="B250" s="217"/>
      <c r="C250" s="217"/>
      <c r="D250" s="217"/>
      <c r="E250" s="217"/>
      <c r="F250" s="217"/>
      <c r="G250" s="232"/>
      <c r="H250" s="217"/>
      <c r="I250" s="236"/>
      <c r="J250" s="217"/>
      <c r="K250" s="217"/>
    </row>
    <row r="251" spans="4:5" ht="15">
      <c r="D251" s="73"/>
      <c r="E251" s="73"/>
    </row>
    <row r="252" spans="4:5" ht="15">
      <c r="D252" s="73"/>
      <c r="E252" s="73"/>
    </row>
    <row r="253" spans="4:5" ht="15">
      <c r="D253" s="73"/>
      <c r="E253" s="73"/>
    </row>
    <row r="254" spans="4:5" ht="15">
      <c r="D254" s="73"/>
      <c r="E254" s="73"/>
    </row>
    <row r="255" spans="4:5" ht="15">
      <c r="D255" s="73"/>
      <c r="E255" s="73"/>
    </row>
    <row r="256" spans="4:5" ht="15">
      <c r="D256" s="73"/>
      <c r="E256" s="73"/>
    </row>
    <row r="257" spans="4:5" ht="15">
      <c r="D257" s="73"/>
      <c r="E257" s="73"/>
    </row>
    <row r="258" spans="4:5" ht="15">
      <c r="D258" s="73"/>
      <c r="E258" s="73"/>
    </row>
    <row r="259" spans="4:5" ht="15">
      <c r="D259" s="73"/>
      <c r="E259" s="73"/>
    </row>
    <row r="260" spans="4:5" ht="15">
      <c r="D260" s="73"/>
      <c r="E260" s="73"/>
    </row>
    <row r="261" spans="4:5" ht="15">
      <c r="D261" s="73"/>
      <c r="E261" s="73"/>
    </row>
    <row r="262" spans="4:5" ht="15">
      <c r="D262" s="73"/>
      <c r="E262" s="73"/>
    </row>
    <row r="263" spans="4:5" ht="15">
      <c r="D263" s="73"/>
      <c r="E263" s="73"/>
    </row>
    <row r="264" spans="4:5" ht="15">
      <c r="D264" s="73"/>
      <c r="E264" s="73"/>
    </row>
    <row r="265" spans="4:5" ht="15">
      <c r="D265" s="73"/>
      <c r="E265" s="73"/>
    </row>
    <row r="266" spans="4:5" ht="15">
      <c r="D266" s="73"/>
      <c r="E266" s="73"/>
    </row>
    <row r="267" spans="4:5" ht="15">
      <c r="D267" s="73"/>
      <c r="E267" s="73"/>
    </row>
    <row r="268" spans="4:5" ht="15">
      <c r="D268" s="73"/>
      <c r="E268" s="73"/>
    </row>
    <row r="269" spans="4:5" ht="15">
      <c r="D269" s="73"/>
      <c r="E269" s="73"/>
    </row>
    <row r="270" spans="4:5" ht="15">
      <c r="D270" s="73"/>
      <c r="E270" s="73"/>
    </row>
    <row r="271" spans="4:5" ht="15">
      <c r="D271" s="73"/>
      <c r="E271" s="73"/>
    </row>
    <row r="272" spans="4:5" ht="15">
      <c r="D272" s="73"/>
      <c r="E272" s="73"/>
    </row>
    <row r="273" spans="4:5" ht="15">
      <c r="D273" s="73"/>
      <c r="E273" s="73"/>
    </row>
    <row r="274" spans="4:5" ht="15">
      <c r="D274" s="73"/>
      <c r="E274" s="73"/>
    </row>
    <row r="275" spans="4:5" ht="15">
      <c r="D275" s="73"/>
      <c r="E275" s="73"/>
    </row>
    <row r="276" spans="4:5" ht="15">
      <c r="D276" s="73"/>
      <c r="E276" s="73"/>
    </row>
    <row r="277" spans="4:5" ht="15">
      <c r="D277" s="73"/>
      <c r="E277" s="73"/>
    </row>
    <row r="278" spans="4:5" ht="15">
      <c r="D278" s="73"/>
      <c r="E278" s="73"/>
    </row>
    <row r="279" spans="4:5" ht="15">
      <c r="D279" s="73"/>
      <c r="E279" s="73"/>
    </row>
    <row r="280" spans="4:5" ht="15">
      <c r="D280" s="73"/>
      <c r="E280" s="73"/>
    </row>
    <row r="281" spans="4:5" ht="15">
      <c r="D281" s="73"/>
      <c r="E281" s="73"/>
    </row>
    <row r="282" spans="4:5" ht="15">
      <c r="D282" s="73"/>
      <c r="E282" s="73"/>
    </row>
    <row r="283" spans="4:5" ht="15">
      <c r="D283" s="73"/>
      <c r="E283" s="73"/>
    </row>
    <row r="284" spans="4:5" ht="15">
      <c r="D284" s="73"/>
      <c r="E284" s="73"/>
    </row>
    <row r="285" spans="4:5" ht="15">
      <c r="D285" s="73"/>
      <c r="E285" s="73"/>
    </row>
    <row r="286" spans="4:5" ht="15">
      <c r="D286" s="73"/>
      <c r="E286" s="73"/>
    </row>
    <row r="287" spans="4:5" ht="15">
      <c r="D287" s="73"/>
      <c r="E287" s="73"/>
    </row>
    <row r="288" spans="4:5" ht="15">
      <c r="D288" s="73"/>
      <c r="E288" s="73"/>
    </row>
    <row r="289" spans="4:5" ht="15">
      <c r="D289" s="73"/>
      <c r="E289" s="73"/>
    </row>
    <row r="290" spans="4:5" ht="15">
      <c r="D290" s="73"/>
      <c r="E290" s="73"/>
    </row>
    <row r="291" spans="4:5" ht="15">
      <c r="D291" s="73"/>
      <c r="E291" s="73"/>
    </row>
    <row r="292" spans="4:5" ht="15">
      <c r="D292" s="73"/>
      <c r="E292" s="73"/>
    </row>
    <row r="293" spans="4:5" ht="15">
      <c r="D293" s="73"/>
      <c r="E293" s="73"/>
    </row>
    <row r="294" spans="4:5" ht="15">
      <c r="D294" s="73"/>
      <c r="E294" s="73"/>
    </row>
    <row r="295" spans="4:5" ht="15">
      <c r="D295" s="73"/>
      <c r="E295" s="73"/>
    </row>
    <row r="296" spans="4:5" ht="15">
      <c r="D296" s="73"/>
      <c r="E296" s="73"/>
    </row>
    <row r="297" spans="4:5" ht="15">
      <c r="D297" s="73"/>
      <c r="E297" s="73"/>
    </row>
    <row r="298" spans="4:5" ht="15">
      <c r="D298" s="73"/>
      <c r="E298" s="73"/>
    </row>
    <row r="299" spans="4:5" ht="15">
      <c r="D299" s="73"/>
      <c r="E299" s="73"/>
    </row>
    <row r="300" spans="4:5" ht="15">
      <c r="D300" s="73"/>
      <c r="E300" s="73"/>
    </row>
    <row r="301" spans="4:5" ht="15">
      <c r="D301" s="73"/>
      <c r="E301" s="73"/>
    </row>
    <row r="302" spans="4:5" ht="15">
      <c r="D302" s="73"/>
      <c r="E302" s="73"/>
    </row>
    <row r="303" spans="4:5" ht="15">
      <c r="D303" s="73"/>
      <c r="E303" s="73"/>
    </row>
    <row r="304" spans="4:5" ht="15">
      <c r="D304" s="73"/>
      <c r="E304" s="73"/>
    </row>
    <row r="305" spans="4:5" ht="15">
      <c r="D305" s="73"/>
      <c r="E305" s="73"/>
    </row>
    <row r="306" spans="4:5" ht="15">
      <c r="D306" s="73"/>
      <c r="E306" s="73"/>
    </row>
    <row r="307" spans="4:5" ht="15">
      <c r="D307" s="73"/>
      <c r="E307" s="73"/>
    </row>
    <row r="308" spans="4:5" ht="15">
      <c r="D308" s="73"/>
      <c r="E308" s="73"/>
    </row>
    <row r="309" spans="4:5" ht="15">
      <c r="D309" s="73"/>
      <c r="E309" s="73"/>
    </row>
    <row r="310" spans="4:5" ht="15">
      <c r="D310" s="73"/>
      <c r="E310" s="73"/>
    </row>
    <row r="311" spans="4:5" ht="15">
      <c r="D311" s="73"/>
      <c r="E311" s="73"/>
    </row>
    <row r="312" spans="4:5" ht="15">
      <c r="D312" s="73"/>
      <c r="E312" s="73"/>
    </row>
    <row r="313" spans="4:5" ht="15">
      <c r="D313" s="73"/>
      <c r="E313" s="73"/>
    </row>
    <row r="314" spans="4:5" ht="15">
      <c r="D314" s="73"/>
      <c r="E314" s="73"/>
    </row>
    <row r="315" spans="4:5" ht="15">
      <c r="D315" s="73"/>
      <c r="E315" s="73"/>
    </row>
    <row r="316" spans="4:5" ht="15">
      <c r="D316" s="73"/>
      <c r="E316" s="73"/>
    </row>
    <row r="317" spans="4:5" ht="15">
      <c r="D317" s="73"/>
      <c r="E317" s="73"/>
    </row>
    <row r="318" spans="4:5" ht="15">
      <c r="D318" s="73"/>
      <c r="E318" s="73"/>
    </row>
    <row r="319" spans="4:5" ht="15">
      <c r="D319" s="73"/>
      <c r="E319" s="73"/>
    </row>
    <row r="320" spans="4:5" ht="15">
      <c r="D320" s="73"/>
      <c r="E320" s="73"/>
    </row>
    <row r="321" spans="4:5" ht="15">
      <c r="D321" s="73"/>
      <c r="E321" s="73"/>
    </row>
    <row r="322" spans="4:5" ht="15">
      <c r="D322" s="73"/>
      <c r="E322" s="73"/>
    </row>
    <row r="323" spans="4:5" ht="15">
      <c r="D323" s="73"/>
      <c r="E323" s="73"/>
    </row>
    <row r="324" spans="4:5" ht="15">
      <c r="D324" s="73"/>
      <c r="E324" s="73"/>
    </row>
    <row r="325" spans="4:5" ht="15">
      <c r="D325" s="73"/>
      <c r="E325" s="73"/>
    </row>
    <row r="326" spans="4:5" ht="15">
      <c r="D326" s="73"/>
      <c r="E326" s="73"/>
    </row>
    <row r="327" spans="4:5" ht="15">
      <c r="D327" s="73"/>
      <c r="E327" s="73"/>
    </row>
    <row r="328" spans="4:5" ht="15">
      <c r="D328" s="73"/>
      <c r="E328" s="73"/>
    </row>
    <row r="329" spans="4:5" ht="15">
      <c r="D329" s="73"/>
      <c r="E329" s="73"/>
    </row>
    <row r="330" spans="4:5" ht="15">
      <c r="D330" s="73"/>
      <c r="E330" s="73"/>
    </row>
    <row r="331" spans="4:5" ht="15">
      <c r="D331" s="73"/>
      <c r="E331" s="73"/>
    </row>
    <row r="332" spans="4:5" ht="15">
      <c r="D332" s="73"/>
      <c r="E332" s="73"/>
    </row>
    <row r="333" spans="4:5" ht="15">
      <c r="D333" s="73"/>
      <c r="E333" s="73"/>
    </row>
    <row r="334" spans="4:5" ht="15">
      <c r="D334" s="73"/>
      <c r="E334" s="73"/>
    </row>
    <row r="335" spans="4:5" ht="15">
      <c r="D335" s="73"/>
      <c r="E335" s="73"/>
    </row>
    <row r="336" spans="4:5" ht="15">
      <c r="D336" s="73"/>
      <c r="E336" s="73"/>
    </row>
    <row r="337" spans="4:5" ht="15">
      <c r="D337" s="73"/>
      <c r="E337" s="73"/>
    </row>
    <row r="338" spans="4:5" ht="15">
      <c r="D338" s="73"/>
      <c r="E338" s="73"/>
    </row>
    <row r="339" spans="4:5" ht="15">
      <c r="D339" s="73"/>
      <c r="E339" s="73"/>
    </row>
    <row r="340" spans="4:5" ht="15">
      <c r="D340" s="73"/>
      <c r="E340" s="73"/>
    </row>
    <row r="341" spans="4:5" ht="15">
      <c r="D341" s="73"/>
      <c r="E341" s="73"/>
    </row>
    <row r="342" spans="4:5" ht="15">
      <c r="D342" s="73"/>
      <c r="E342" s="73"/>
    </row>
    <row r="343" spans="4:5" ht="15">
      <c r="D343" s="73"/>
      <c r="E343" s="73"/>
    </row>
    <row r="344" spans="4:5" ht="15">
      <c r="D344" s="73"/>
      <c r="E344" s="73"/>
    </row>
    <row r="345" spans="4:5" ht="15">
      <c r="D345" s="73"/>
      <c r="E345" s="73"/>
    </row>
    <row r="346" spans="4:5" ht="15">
      <c r="D346" s="73"/>
      <c r="E346" s="73"/>
    </row>
    <row r="347" spans="4:5" ht="15">
      <c r="D347" s="73"/>
      <c r="E347" s="73"/>
    </row>
    <row r="348" spans="4:5" ht="15">
      <c r="D348" s="73"/>
      <c r="E348" s="73"/>
    </row>
    <row r="349" spans="4:5" ht="15">
      <c r="D349" s="73"/>
      <c r="E349" s="73"/>
    </row>
    <row r="350" spans="4:5" ht="15">
      <c r="D350" s="73"/>
      <c r="E350" s="73"/>
    </row>
    <row r="351" spans="4:5" ht="15">
      <c r="D351" s="73"/>
      <c r="E351" s="73"/>
    </row>
    <row r="352" spans="4:5" ht="15">
      <c r="D352" s="73"/>
      <c r="E352" s="73"/>
    </row>
    <row r="353" spans="4:5" ht="15">
      <c r="D353" s="73"/>
      <c r="E353" s="73"/>
    </row>
    <row r="354" spans="4:5" ht="15">
      <c r="D354" s="73"/>
      <c r="E354" s="73"/>
    </row>
    <row r="355" spans="4:5" ht="15">
      <c r="D355" s="73"/>
      <c r="E355" s="73"/>
    </row>
    <row r="356" spans="4:5" ht="15">
      <c r="D356" s="73"/>
      <c r="E356" s="73"/>
    </row>
    <row r="357" spans="4:5" ht="15">
      <c r="D357" s="73"/>
      <c r="E357" s="73"/>
    </row>
    <row r="358" spans="4:5" ht="15">
      <c r="D358" s="73"/>
      <c r="E358" s="73"/>
    </row>
    <row r="359" spans="4:5" ht="15">
      <c r="D359" s="73"/>
      <c r="E359" s="73"/>
    </row>
    <row r="360" spans="4:5" ht="15">
      <c r="D360" s="73"/>
      <c r="E360" s="73"/>
    </row>
    <row r="361" spans="4:5" ht="15">
      <c r="D361" s="73"/>
      <c r="E361" s="73"/>
    </row>
    <row r="362" spans="4:5" ht="15">
      <c r="D362" s="73"/>
      <c r="E362" s="73"/>
    </row>
    <row r="363" spans="4:5" ht="15">
      <c r="D363" s="73"/>
      <c r="E363" s="73"/>
    </row>
    <row r="364" spans="4:5" ht="15">
      <c r="D364" s="73"/>
      <c r="E364" s="73"/>
    </row>
    <row r="365" spans="4:5" ht="15">
      <c r="D365" s="73"/>
      <c r="E365" s="73"/>
    </row>
    <row r="366" spans="4:5" ht="15">
      <c r="D366" s="73"/>
      <c r="E366" s="73"/>
    </row>
    <row r="367" spans="4:5" ht="15">
      <c r="D367" s="73"/>
      <c r="E367" s="73"/>
    </row>
    <row r="368" spans="4:5" ht="15">
      <c r="D368" s="73"/>
      <c r="E368" s="73"/>
    </row>
    <row r="369" spans="4:5" ht="15">
      <c r="D369" s="73"/>
      <c r="E369" s="73"/>
    </row>
    <row r="370" spans="4:5" ht="15">
      <c r="D370" s="73"/>
      <c r="E370" s="73"/>
    </row>
    <row r="371" spans="4:5" ht="15">
      <c r="D371" s="73"/>
      <c r="E371" s="73"/>
    </row>
    <row r="372" spans="4:5" ht="15">
      <c r="D372" s="73"/>
      <c r="E372" s="73"/>
    </row>
    <row r="373" spans="4:5" ht="15">
      <c r="D373" s="73"/>
      <c r="E373" s="73"/>
    </row>
    <row r="374" spans="4:5" ht="15">
      <c r="D374" s="73"/>
      <c r="E374" s="73"/>
    </row>
    <row r="375" spans="4:5" ht="15">
      <c r="D375" s="73"/>
      <c r="E375" s="73"/>
    </row>
    <row r="376" spans="4:5" ht="15">
      <c r="D376" s="73"/>
      <c r="E376" s="73"/>
    </row>
    <row r="377" spans="4:5" ht="15">
      <c r="D377" s="73"/>
      <c r="E377" s="73"/>
    </row>
    <row r="378" spans="4:5" ht="15">
      <c r="D378" s="73"/>
      <c r="E378" s="73"/>
    </row>
    <row r="379" spans="4:5" ht="15">
      <c r="D379" s="73"/>
      <c r="E379" s="73"/>
    </row>
    <row r="380" spans="4:5" ht="15">
      <c r="D380" s="73"/>
      <c r="E380" s="73"/>
    </row>
    <row r="381" spans="4:5" ht="15">
      <c r="D381" s="73"/>
      <c r="E381" s="73"/>
    </row>
    <row r="382" spans="4:5" ht="15">
      <c r="D382" s="73"/>
      <c r="E382" s="73"/>
    </row>
    <row r="383" spans="4:5" ht="15">
      <c r="D383" s="73"/>
      <c r="E383" s="73"/>
    </row>
    <row r="384" spans="4:5" ht="15">
      <c r="D384" s="73"/>
      <c r="E384" s="73"/>
    </row>
    <row r="385" spans="4:5" ht="15">
      <c r="D385" s="73"/>
      <c r="E385" s="73"/>
    </row>
    <row r="386" spans="4:5" ht="15">
      <c r="D386" s="73"/>
      <c r="E386" s="73"/>
    </row>
    <row r="387" spans="4:5" ht="15">
      <c r="D387" s="73"/>
      <c r="E387" s="73"/>
    </row>
    <row r="388" spans="4:5" ht="15">
      <c r="D388" s="73"/>
      <c r="E388" s="73"/>
    </row>
    <row r="389" spans="4:5" ht="15">
      <c r="D389" s="73"/>
      <c r="E389" s="73"/>
    </row>
    <row r="390" spans="4:5" ht="15">
      <c r="D390" s="73"/>
      <c r="E390" s="73"/>
    </row>
    <row r="391" spans="4:5" ht="15">
      <c r="D391" s="73"/>
      <c r="E391" s="73"/>
    </row>
    <row r="392" spans="4:5" ht="15">
      <c r="D392" s="73"/>
      <c r="E392" s="73"/>
    </row>
    <row r="393" spans="4:5" ht="15">
      <c r="D393" s="73"/>
      <c r="E393" s="73"/>
    </row>
    <row r="394" spans="4:5" ht="15">
      <c r="D394" s="73"/>
      <c r="E394" s="73"/>
    </row>
    <row r="395" spans="4:5" ht="15">
      <c r="D395" s="73"/>
      <c r="E395" s="73"/>
    </row>
    <row r="396" spans="4:5" ht="15">
      <c r="D396" s="73"/>
      <c r="E396" s="73"/>
    </row>
    <row r="397" spans="4:5" ht="15">
      <c r="D397" s="73"/>
      <c r="E397" s="73"/>
    </row>
    <row r="398" spans="4:5" ht="15">
      <c r="D398" s="73"/>
      <c r="E398" s="73"/>
    </row>
    <row r="399" spans="4:5" ht="15">
      <c r="D399" s="73"/>
      <c r="E399" s="73"/>
    </row>
    <row r="400" spans="4:5" ht="15">
      <c r="D400" s="73"/>
      <c r="E400" s="73"/>
    </row>
    <row r="401" spans="4:5" ht="15">
      <c r="D401" s="73"/>
      <c r="E401" s="73"/>
    </row>
    <row r="402" spans="4:5" ht="15">
      <c r="D402" s="73"/>
      <c r="E402" s="73"/>
    </row>
    <row r="403" spans="4:5" ht="15">
      <c r="D403" s="73"/>
      <c r="E403" s="73"/>
    </row>
    <row r="404" spans="4:5" ht="15">
      <c r="D404" s="73"/>
      <c r="E404" s="73"/>
    </row>
    <row r="405" spans="4:5" ht="15">
      <c r="D405" s="73"/>
      <c r="E405" s="73"/>
    </row>
    <row r="406" spans="4:5" ht="15">
      <c r="D406" s="73"/>
      <c r="E406" s="73"/>
    </row>
    <row r="407" spans="4:5" ht="15">
      <c r="D407" s="73"/>
      <c r="E407" s="73"/>
    </row>
    <row r="408" spans="4:5" ht="15">
      <c r="D408" s="73"/>
      <c r="E408" s="73"/>
    </row>
    <row r="409" spans="4:5" ht="15">
      <c r="D409" s="73"/>
      <c r="E409" s="73"/>
    </row>
    <row r="410" spans="4:5" ht="15">
      <c r="D410" s="73"/>
      <c r="E410" s="73"/>
    </row>
    <row r="411" spans="4:5" ht="15">
      <c r="D411" s="73"/>
      <c r="E411" s="73"/>
    </row>
    <row r="412" spans="4:5" ht="15">
      <c r="D412" s="73"/>
      <c r="E412" s="73"/>
    </row>
    <row r="413" spans="4:5" ht="15">
      <c r="D413" s="73"/>
      <c r="E413" s="73"/>
    </row>
    <row r="414" spans="4:5" ht="15">
      <c r="D414" s="73"/>
      <c r="E414" s="73"/>
    </row>
    <row r="415" spans="4:5" ht="15">
      <c r="D415" s="73"/>
      <c r="E415" s="73"/>
    </row>
    <row r="416" spans="4:5" ht="15">
      <c r="D416" s="73"/>
      <c r="E416" s="73"/>
    </row>
    <row r="417" spans="4:5" ht="15">
      <c r="D417" s="73"/>
      <c r="E417" s="73"/>
    </row>
    <row r="418" spans="4:5" ht="15">
      <c r="D418" s="73"/>
      <c r="E418" s="73"/>
    </row>
    <row r="419" spans="4:5" ht="15">
      <c r="D419" s="73"/>
      <c r="E419" s="73"/>
    </row>
    <row r="420" spans="4:5" ht="15">
      <c r="D420" s="73"/>
      <c r="E420" s="73"/>
    </row>
    <row r="421" spans="4:5" ht="15">
      <c r="D421" s="73"/>
      <c r="E421" s="73"/>
    </row>
    <row r="422" spans="4:5" ht="15">
      <c r="D422" s="73"/>
      <c r="E422" s="73"/>
    </row>
    <row r="423" spans="4:5" ht="15">
      <c r="D423" s="73"/>
      <c r="E423" s="73"/>
    </row>
    <row r="424" spans="4:5" ht="15">
      <c r="D424" s="73"/>
      <c r="E424" s="73"/>
    </row>
    <row r="425" spans="4:5" ht="15">
      <c r="D425" s="73"/>
      <c r="E425" s="73"/>
    </row>
    <row r="426" spans="4:5" ht="15">
      <c r="D426" s="73"/>
      <c r="E426" s="73"/>
    </row>
    <row r="427" spans="4:5" ht="15">
      <c r="D427" s="73"/>
      <c r="E427" s="73"/>
    </row>
    <row r="428" spans="4:5" ht="15">
      <c r="D428" s="73"/>
      <c r="E428" s="73"/>
    </row>
    <row r="429" spans="4:5" ht="15">
      <c r="D429" s="73"/>
      <c r="E429" s="73"/>
    </row>
    <row r="430" spans="4:5" ht="15">
      <c r="D430" s="73"/>
      <c r="E430" s="73"/>
    </row>
    <row r="431" spans="4:5" ht="15">
      <c r="D431" s="73"/>
      <c r="E431" s="73"/>
    </row>
    <row r="432" spans="4:5" ht="15">
      <c r="D432" s="73"/>
      <c r="E432" s="73"/>
    </row>
    <row r="433" spans="4:5" ht="15">
      <c r="D433" s="73"/>
      <c r="E433" s="73"/>
    </row>
    <row r="434" spans="4:5" ht="15">
      <c r="D434" s="73"/>
      <c r="E434" s="73"/>
    </row>
    <row r="435" spans="4:5" ht="15">
      <c r="D435" s="73"/>
      <c r="E435" s="73"/>
    </row>
    <row r="436" spans="4:5" ht="15">
      <c r="D436" s="73"/>
      <c r="E436" s="73"/>
    </row>
    <row r="437" spans="4:5" ht="15">
      <c r="D437" s="73"/>
      <c r="E437" s="73"/>
    </row>
    <row r="438" spans="4:5" ht="15">
      <c r="D438" s="73"/>
      <c r="E438" s="73"/>
    </row>
    <row r="439" spans="4:5" ht="15">
      <c r="D439" s="73"/>
      <c r="E439" s="73"/>
    </row>
    <row r="440" spans="4:5" ht="15">
      <c r="D440" s="73"/>
      <c r="E440" s="73"/>
    </row>
    <row r="441" spans="4:5" ht="15">
      <c r="D441" s="73"/>
      <c r="E441" s="73"/>
    </row>
    <row r="442" spans="4:5" ht="15">
      <c r="D442" s="73"/>
      <c r="E442" s="73"/>
    </row>
    <row r="443" spans="4:5" ht="15">
      <c r="D443" s="73"/>
      <c r="E443" s="73"/>
    </row>
    <row r="444" spans="4:5" ht="15">
      <c r="D444" s="73"/>
      <c r="E444" s="73"/>
    </row>
    <row r="445" spans="4:5" ht="15">
      <c r="D445" s="73"/>
      <c r="E445" s="73"/>
    </row>
    <row r="446" spans="4:5" ht="15">
      <c r="D446" s="73"/>
      <c r="E446" s="73"/>
    </row>
    <row r="447" spans="4:5" ht="15">
      <c r="D447" s="73"/>
      <c r="E447" s="73"/>
    </row>
    <row r="448" spans="4:5" ht="15">
      <c r="D448" s="73"/>
      <c r="E448" s="73"/>
    </row>
    <row r="449" spans="4:5" ht="15">
      <c r="D449" s="73"/>
      <c r="E449" s="73"/>
    </row>
    <row r="450" spans="4:5" ht="15">
      <c r="D450" s="73"/>
      <c r="E450" s="73"/>
    </row>
    <row r="451" spans="4:5" ht="15">
      <c r="D451" s="73"/>
      <c r="E451" s="73"/>
    </row>
    <row r="452" spans="4:5" ht="15">
      <c r="D452" s="73"/>
      <c r="E452" s="73"/>
    </row>
    <row r="453" spans="4:5" ht="15">
      <c r="D453" s="73"/>
      <c r="E453" s="73"/>
    </row>
    <row r="454" spans="4:5" ht="15">
      <c r="D454" s="73"/>
      <c r="E454" s="73"/>
    </row>
    <row r="455" spans="4:5" ht="15">
      <c r="D455" s="73"/>
      <c r="E455" s="73"/>
    </row>
    <row r="456" spans="4:5" ht="15">
      <c r="D456" s="73"/>
      <c r="E456" s="73"/>
    </row>
    <row r="457" spans="4:5" ht="15">
      <c r="D457" s="73"/>
      <c r="E457" s="73"/>
    </row>
    <row r="458" spans="4:5" ht="15">
      <c r="D458" s="73"/>
      <c r="E458" s="73"/>
    </row>
    <row r="459" spans="4:5" ht="15">
      <c r="D459" s="73"/>
      <c r="E459" s="73"/>
    </row>
    <row r="460" spans="4:5" ht="15">
      <c r="D460" s="73"/>
      <c r="E460" s="7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0"/>
  <sheetViews>
    <sheetView zoomScale="75" zoomScaleNormal="75" zoomScalePageLayoutView="0" workbookViewId="0" topLeftCell="A1">
      <selection activeCell="B22" sqref="B22"/>
    </sheetView>
  </sheetViews>
  <sheetFormatPr defaultColWidth="8.88671875" defaultRowHeight="15"/>
  <cols>
    <col min="1" max="1" width="5.88671875" style="1" customWidth="1"/>
    <col min="2" max="2" width="37.10546875" style="1" customWidth="1"/>
    <col min="3" max="3" width="11.4453125" style="1" customWidth="1"/>
    <col min="4" max="16384" width="8.88671875" style="1" customWidth="1"/>
  </cols>
  <sheetData>
    <row r="1" spans="1:16" ht="15" thickBot="1">
      <c r="A1" s="134" t="s">
        <v>175</v>
      </c>
      <c r="B1" s="90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78"/>
      <c r="O1" s="90"/>
      <c r="P1" s="90"/>
    </row>
    <row r="2" spans="1:16" ht="15" thickTop="1">
      <c r="A2" s="99"/>
      <c r="B2" s="410"/>
      <c r="C2" s="411"/>
      <c r="D2" s="412"/>
      <c r="E2" s="413"/>
      <c r="F2" s="411"/>
      <c r="G2" s="100"/>
      <c r="H2" s="101" t="s">
        <v>176</v>
      </c>
      <c r="I2" s="102"/>
      <c r="J2" s="414"/>
      <c r="K2" s="101" t="s">
        <v>177</v>
      </c>
      <c r="L2" s="414"/>
      <c r="M2" s="414"/>
      <c r="N2" s="78"/>
      <c r="O2" s="90"/>
      <c r="P2" s="90"/>
    </row>
    <row r="3" spans="1:16" ht="15">
      <c r="A3" s="98"/>
      <c r="B3" s="415"/>
      <c r="C3" s="416" t="s">
        <v>178</v>
      </c>
      <c r="D3" s="417" t="s">
        <v>179</v>
      </c>
      <c r="E3" s="417" t="s">
        <v>180</v>
      </c>
      <c r="F3" s="417" t="s">
        <v>181</v>
      </c>
      <c r="G3" s="103" t="s">
        <v>182</v>
      </c>
      <c r="H3" s="103" t="s">
        <v>179</v>
      </c>
      <c r="I3" s="103" t="s">
        <v>180</v>
      </c>
      <c r="J3" s="103" t="s">
        <v>181</v>
      </c>
      <c r="K3" s="103" t="s">
        <v>179</v>
      </c>
      <c r="L3" s="103" t="s">
        <v>180</v>
      </c>
      <c r="M3" s="103" t="s">
        <v>181</v>
      </c>
      <c r="N3" s="78"/>
      <c r="O3" s="90"/>
      <c r="P3" s="90"/>
    </row>
    <row r="4" spans="1:16" ht="15" thickBot="1">
      <c r="A4" s="104"/>
      <c r="B4" s="418" t="s">
        <v>29</v>
      </c>
      <c r="C4" s="419" t="s">
        <v>183</v>
      </c>
      <c r="D4" s="420" t="s">
        <v>184</v>
      </c>
      <c r="E4" s="420" t="s">
        <v>184</v>
      </c>
      <c r="F4" s="420" t="s">
        <v>184</v>
      </c>
      <c r="G4" s="105" t="s">
        <v>185</v>
      </c>
      <c r="H4" s="105" t="s">
        <v>185</v>
      </c>
      <c r="I4" s="105" t="s">
        <v>185</v>
      </c>
      <c r="J4" s="105" t="s">
        <v>185</v>
      </c>
      <c r="K4" s="105" t="s">
        <v>185</v>
      </c>
      <c r="L4" s="105" t="s">
        <v>185</v>
      </c>
      <c r="M4" s="105" t="s">
        <v>185</v>
      </c>
      <c r="N4" s="78"/>
      <c r="O4" s="90"/>
      <c r="P4" s="90"/>
    </row>
    <row r="5" spans="1:16" ht="15" thickTop="1">
      <c r="A5" s="106"/>
      <c r="B5" s="421"/>
      <c r="C5" s="422"/>
      <c r="D5" s="422"/>
      <c r="E5" s="422"/>
      <c r="F5" s="422"/>
      <c r="G5" s="422"/>
      <c r="H5" s="422"/>
      <c r="I5" s="422"/>
      <c r="J5" s="107"/>
      <c r="K5" s="107"/>
      <c r="L5" s="107"/>
      <c r="M5" s="107"/>
      <c r="N5" s="78"/>
      <c r="O5" s="90"/>
      <c r="P5" s="90"/>
    </row>
    <row r="6" spans="1:16" ht="15">
      <c r="A6" s="92" t="s">
        <v>186</v>
      </c>
      <c r="B6" s="79"/>
      <c r="C6" s="423"/>
      <c r="D6" s="424"/>
      <c r="E6" s="424"/>
      <c r="F6" s="424"/>
      <c r="G6" s="66"/>
      <c r="H6" s="66"/>
      <c r="I6" s="66"/>
      <c r="J6" s="66"/>
      <c r="K6" s="66"/>
      <c r="L6" s="66"/>
      <c r="M6" s="66"/>
      <c r="N6" s="78"/>
      <c r="O6" s="90"/>
      <c r="P6" s="90"/>
    </row>
    <row r="7" spans="1:16" ht="15">
      <c r="A7" s="222">
        <v>1</v>
      </c>
      <c r="B7" s="425" t="str">
        <f aca="true" t="shared" si="0" ref="B7:B29">VLOOKUP(A7,Mach_Name,2)</f>
        <v>COMBINE</v>
      </c>
      <c r="C7" s="64">
        <f aca="true" t="shared" si="1" ref="C7:C29">VLOOKUP(A7,Mach_Name,5)</f>
        <v>306499.5</v>
      </c>
      <c r="D7" s="80">
        <f aca="true" t="shared" si="2" ref="D7:D29">ROUND(SUM(VLOOKUP(A7,Mach_Name,24),VLOOKUP(A7,Mach_Name,25),VLOOKUP(A7,Mach_Name,26)),2)</f>
        <v>72.72</v>
      </c>
      <c r="E7" s="80">
        <f aca="true" t="shared" si="3" ref="E7:E29">ROUND(SUM(VLOOKUP(A7,Mach_Name,20),VLOOKUP(A7,Mach_Name,21),VLOOKUP(A7,Mach_Name,22),VLOOKUP(A7,Mach_Name,23)),2)</f>
        <v>153.66</v>
      </c>
      <c r="F7" s="80">
        <f>D7+E7</f>
        <v>226.38</v>
      </c>
      <c r="G7" s="270">
        <f aca="true" t="shared" si="4" ref="G7:G19">ROUND(IF(VLOOKUP(A7,Mach_Name,9)="-","-",(1/((VLOOKUP(A7,Mach_Name,8)*VLOOKUP(A7,Mach_Name,9)*VLOOKUP(A7,Mach_Name,13))/8.25))),2)</f>
        <v>0.33</v>
      </c>
      <c r="H7" s="271" t="s">
        <v>43</v>
      </c>
      <c r="I7" s="271" t="s">
        <v>43</v>
      </c>
      <c r="J7" s="271" t="s">
        <v>43</v>
      </c>
      <c r="K7" s="81">
        <f aca="true" t="shared" si="5" ref="K7:K19">ROUND(IF(G7="-","-",D7*G7),2)</f>
        <v>24</v>
      </c>
      <c r="L7" s="81">
        <f aca="true" t="shared" si="6" ref="L7:L19">ROUND(IF(G7="-","-",E7*G7),2)</f>
        <v>50.71</v>
      </c>
      <c r="M7" s="81">
        <f aca="true" t="shared" si="7" ref="M7:M18">IF(G7="-","-",K7+L7)</f>
        <v>74.71000000000001</v>
      </c>
      <c r="N7" s="78"/>
      <c r="O7" s="90"/>
      <c r="P7" s="90"/>
    </row>
    <row r="8" spans="1:16" ht="15">
      <c r="A8" s="222">
        <v>2</v>
      </c>
      <c r="B8" s="425" t="str">
        <f t="shared" si="0"/>
        <v>COMBINE LARGE</v>
      </c>
      <c r="C8" s="64">
        <f t="shared" si="1"/>
        <v>325000</v>
      </c>
      <c r="D8" s="80">
        <f t="shared" si="2"/>
        <v>77.11</v>
      </c>
      <c r="E8" s="80">
        <f t="shared" si="3"/>
        <v>162.94</v>
      </c>
      <c r="F8" s="80">
        <f aca="true" t="shared" si="8" ref="F8:F27">D8+E8</f>
        <v>240.05</v>
      </c>
      <c r="G8" s="270">
        <f t="shared" si="4"/>
        <v>0.25</v>
      </c>
      <c r="H8" s="271" t="s">
        <v>43</v>
      </c>
      <c r="I8" s="271" t="s">
        <v>43</v>
      </c>
      <c r="J8" s="271" t="s">
        <v>43</v>
      </c>
      <c r="K8" s="81">
        <f t="shared" si="5"/>
        <v>19.28</v>
      </c>
      <c r="L8" s="81">
        <f t="shared" si="6"/>
        <v>40.74</v>
      </c>
      <c r="M8" s="81">
        <f t="shared" si="7"/>
        <v>60.02</v>
      </c>
      <c r="N8" s="78"/>
      <c r="O8" s="90"/>
      <c r="P8" s="90"/>
    </row>
    <row r="9" spans="1:16" ht="15">
      <c r="A9" s="222">
        <v>3</v>
      </c>
      <c r="B9" s="425" t="str">
        <f t="shared" si="0"/>
        <v>COMBINE LARGE W/ HEADER</v>
      </c>
      <c r="C9" s="64">
        <f t="shared" si="1"/>
        <v>437500</v>
      </c>
      <c r="D9" s="80">
        <f t="shared" si="2"/>
        <v>103.8</v>
      </c>
      <c r="E9" s="80">
        <f t="shared" si="3"/>
        <v>219.34</v>
      </c>
      <c r="F9" s="80">
        <f t="shared" si="8"/>
        <v>323.14</v>
      </c>
      <c r="G9" s="270">
        <f t="shared" si="4"/>
        <v>0.25</v>
      </c>
      <c r="H9" s="271" t="s">
        <v>43</v>
      </c>
      <c r="I9" s="271" t="s">
        <v>43</v>
      </c>
      <c r="J9" s="271" t="s">
        <v>43</v>
      </c>
      <c r="K9" s="81">
        <f t="shared" si="5"/>
        <v>25.95</v>
      </c>
      <c r="L9" s="81">
        <f t="shared" si="6"/>
        <v>54.84</v>
      </c>
      <c r="M9" s="81">
        <f t="shared" si="7"/>
        <v>80.79</v>
      </c>
      <c r="N9" s="78"/>
      <c r="O9" s="90"/>
      <c r="P9" s="90"/>
    </row>
    <row r="10" spans="1:16" ht="15">
      <c r="A10" s="222">
        <v>4</v>
      </c>
      <c r="B10" s="425" t="str">
        <f t="shared" si="0"/>
        <v>COMBINE W/ HEADER</v>
      </c>
      <c r="C10" s="64">
        <f t="shared" si="1"/>
        <v>400000</v>
      </c>
      <c r="D10" s="80">
        <f t="shared" si="2"/>
        <v>94.9</v>
      </c>
      <c r="E10" s="80">
        <f t="shared" si="3"/>
        <v>200.54</v>
      </c>
      <c r="F10" s="80">
        <f t="shared" si="8"/>
        <v>295.44</v>
      </c>
      <c r="G10" s="270">
        <f t="shared" si="4"/>
        <v>0.33</v>
      </c>
      <c r="H10" s="271" t="s">
        <v>43</v>
      </c>
      <c r="I10" s="271" t="s">
        <v>43</v>
      </c>
      <c r="J10" s="271" t="s">
        <v>43</v>
      </c>
      <c r="K10" s="81">
        <f t="shared" si="5"/>
        <v>31.32</v>
      </c>
      <c r="L10" s="81">
        <f t="shared" si="6"/>
        <v>66.18</v>
      </c>
      <c r="M10" s="81">
        <f t="shared" si="7"/>
        <v>97.5</v>
      </c>
      <c r="N10" s="78"/>
      <c r="O10" s="90"/>
      <c r="P10" s="90"/>
    </row>
    <row r="11" spans="1:16" ht="15">
      <c r="A11" s="222">
        <v>5</v>
      </c>
      <c r="B11" s="425" t="str">
        <f t="shared" si="0"/>
        <v>COTTON PICKER 2-ROW</v>
      </c>
      <c r="C11" s="64">
        <f t="shared" si="1"/>
        <v>136765.8770381916</v>
      </c>
      <c r="D11" s="80">
        <f t="shared" si="2"/>
        <v>63.33</v>
      </c>
      <c r="E11" s="80">
        <f t="shared" si="3"/>
        <v>57.34</v>
      </c>
      <c r="F11" s="80">
        <f t="shared" si="8"/>
        <v>120.67</v>
      </c>
      <c r="G11" s="270">
        <f t="shared" si="4"/>
        <v>0.76</v>
      </c>
      <c r="H11" s="271" t="s">
        <v>43</v>
      </c>
      <c r="I11" s="271" t="s">
        <v>43</v>
      </c>
      <c r="J11" s="271" t="s">
        <v>43</v>
      </c>
      <c r="K11" s="81">
        <f t="shared" si="5"/>
        <v>48.13</v>
      </c>
      <c r="L11" s="81">
        <f t="shared" si="6"/>
        <v>43.58</v>
      </c>
      <c r="M11" s="81">
        <f t="shared" si="7"/>
        <v>91.71000000000001</v>
      </c>
      <c r="N11" s="78"/>
      <c r="O11" s="90"/>
      <c r="P11" s="90"/>
    </row>
    <row r="12" spans="1:16" ht="15">
      <c r="A12" s="222">
        <v>6</v>
      </c>
      <c r="B12" s="425" t="str">
        <f t="shared" si="0"/>
        <v>COTTON PICKER 4-ROW</v>
      </c>
      <c r="C12" s="64">
        <f t="shared" si="1"/>
        <v>292820.05987350014</v>
      </c>
      <c r="D12" s="80">
        <f t="shared" si="2"/>
        <v>135.58</v>
      </c>
      <c r="E12" s="80">
        <f t="shared" si="3"/>
        <v>122.77</v>
      </c>
      <c r="F12" s="80">
        <f t="shared" si="8"/>
        <v>258.35</v>
      </c>
      <c r="G12" s="270">
        <f t="shared" si="4"/>
        <v>0.38</v>
      </c>
      <c r="H12" s="271" t="s">
        <v>43</v>
      </c>
      <c r="I12" s="271" t="s">
        <v>43</v>
      </c>
      <c r="J12" s="271" t="s">
        <v>43</v>
      </c>
      <c r="K12" s="81">
        <f t="shared" si="5"/>
        <v>51.52</v>
      </c>
      <c r="L12" s="81">
        <f t="shared" si="6"/>
        <v>46.65</v>
      </c>
      <c r="M12" s="81">
        <f t="shared" si="7"/>
        <v>98.17</v>
      </c>
      <c r="N12" s="78"/>
      <c r="O12" s="90"/>
      <c r="P12" s="90"/>
    </row>
    <row r="13" spans="1:16" ht="15">
      <c r="A13" s="222">
        <v>6.1</v>
      </c>
      <c r="B13" s="425" t="str">
        <f t="shared" si="0"/>
        <v>COTTON FINGER STRIPPER 4-ROW</v>
      </c>
      <c r="C13" s="64">
        <f>VLOOKUP(A13,Mach_Name,5)</f>
        <v>127138.9137352316</v>
      </c>
      <c r="D13" s="80">
        <f>ROUND(SUM(VLOOKUP(A13,Mach_Name,24),VLOOKUP(A13,Mach_Name,25),VLOOKUP(A13,Mach_Name,26)),2)</f>
        <v>58.87</v>
      </c>
      <c r="E13" s="80">
        <f>ROUND(SUM(VLOOKUP(A13,Mach_Name,20),VLOOKUP(A13,Mach_Name,21),VLOOKUP(A13,Mach_Name,22),VLOOKUP(A13,Mach_Name,23)),2)</f>
        <v>53.3</v>
      </c>
      <c r="F13" s="80">
        <f>D13+E13</f>
        <v>112.16999999999999</v>
      </c>
      <c r="G13" s="270">
        <f>ROUND(IF(VLOOKUP(A13,Mach_Name,9)="-","-",(1/((VLOOKUP(A13,Mach_Name,8)*VLOOKUP(A13,Mach_Name,9)*VLOOKUP(A13,Mach_Name,13))/8.25))),2)</f>
        <v>0.23</v>
      </c>
      <c r="H13" s="271" t="s">
        <v>43</v>
      </c>
      <c r="I13" s="271" t="s">
        <v>43</v>
      </c>
      <c r="J13" s="271" t="s">
        <v>43</v>
      </c>
      <c r="K13" s="81">
        <f>ROUND(IF(G13="-","-",D13*G13),2)</f>
        <v>13.54</v>
      </c>
      <c r="L13" s="81">
        <f>ROUND(IF(G13="-","-",E13*G13),2)</f>
        <v>12.26</v>
      </c>
      <c r="M13" s="81">
        <f>IF(G13="-","-",K13+L13)</f>
        <v>25.799999999999997</v>
      </c>
      <c r="N13" s="78"/>
      <c r="O13" s="90"/>
      <c r="P13" s="90"/>
    </row>
    <row r="14" spans="1:16" ht="15">
      <c r="A14" s="222">
        <v>6.2</v>
      </c>
      <c r="B14" s="405" t="s">
        <v>961</v>
      </c>
      <c r="C14" s="64">
        <f>VLOOKUP(A14,Mach_Name,5)</f>
        <v>465000</v>
      </c>
      <c r="D14" s="80">
        <f>ROUND(SUM(VLOOKUP(A14,Mach_Name,24),VLOOKUP(A14,Mach_Name,25),VLOOKUP(A14,Mach_Name,26)),2)</f>
        <v>188.92</v>
      </c>
      <c r="E14" s="80">
        <f>ROUND(SUM(VLOOKUP(A14,Mach_Name,20),VLOOKUP(A14,Mach_Name,21),VLOOKUP(A14,Mach_Name,22),VLOOKUP(A14,Mach_Name,23)),2)</f>
        <v>243.69</v>
      </c>
      <c r="F14" s="80">
        <f>D14+E14</f>
        <v>432.61</v>
      </c>
      <c r="G14" s="270">
        <f>ROUND(IF(VLOOKUP(A14,Mach_Name,9)="-","-",(1/((VLOOKUP(A14,Mach_Name,8)*VLOOKUP(A14,Mach_Name,9)*VLOOKUP(A14,Mach_Name,13))/8.25))),2)</f>
        <v>0.29</v>
      </c>
      <c r="H14" s="271" t="s">
        <v>43</v>
      </c>
      <c r="I14" s="271" t="s">
        <v>43</v>
      </c>
      <c r="J14" s="271" t="s">
        <v>43</v>
      </c>
      <c r="K14" s="81">
        <f>ROUND(IF(G14="-","-",D14*G14),2)</f>
        <v>54.79</v>
      </c>
      <c r="L14" s="81">
        <f>ROUND(IF(G14="-","-",E14*G14),2)</f>
        <v>70.67</v>
      </c>
      <c r="M14" s="81">
        <f>IF(G14="-","-",K14+L14)</f>
        <v>125.46000000000001</v>
      </c>
      <c r="N14" s="78"/>
      <c r="O14" s="90"/>
      <c r="P14" s="90"/>
    </row>
    <row r="15" spans="1:16" ht="15">
      <c r="A15" s="222">
        <v>6.3</v>
      </c>
      <c r="B15" s="405" t="s">
        <v>962</v>
      </c>
      <c r="C15" s="64">
        <f>VLOOKUP(A15,Mach_Name,5)</f>
        <v>744000</v>
      </c>
      <c r="D15" s="80">
        <f>ROUND(SUM(VLOOKUP(A15,Mach_Name,24),VLOOKUP(A15,Mach_Name,25),VLOOKUP(A15,Mach_Name,26)),2)</f>
        <v>302.27</v>
      </c>
      <c r="E15" s="80">
        <f>ROUND(SUM(VLOOKUP(A15,Mach_Name,20),VLOOKUP(A15,Mach_Name,21),VLOOKUP(A15,Mach_Name,22),VLOOKUP(A15,Mach_Name,23)),2)</f>
        <v>389.91</v>
      </c>
      <c r="F15" s="80">
        <f>D15+E15</f>
        <v>692.1800000000001</v>
      </c>
      <c r="G15" s="270">
        <f>ROUND(IF(VLOOKUP(A15,Mach_Name,9)="-","-",(1/((VLOOKUP(A15,Mach_Name,8)*VLOOKUP(A15,Mach_Name,9)*VLOOKUP(A15,Mach_Name,13))/8.25))),2)</f>
        <v>0.29</v>
      </c>
      <c r="H15" s="271" t="s">
        <v>43</v>
      </c>
      <c r="I15" s="271" t="s">
        <v>43</v>
      </c>
      <c r="J15" s="271" t="s">
        <v>43</v>
      </c>
      <c r="K15" s="81">
        <f>ROUND(IF(G15="-","-",D15*G15),2)</f>
        <v>87.66</v>
      </c>
      <c r="L15" s="81">
        <f>ROUND(IF(G15="-","-",E15*G15),2)</f>
        <v>113.07</v>
      </c>
      <c r="M15" s="81">
        <f>IF(G15="-","-",K15+L15)</f>
        <v>200.73</v>
      </c>
      <c r="N15" s="78"/>
      <c r="O15" s="90"/>
      <c r="P15" s="90"/>
    </row>
    <row r="16" spans="1:16" ht="15">
      <c r="A16" s="222">
        <v>6.4</v>
      </c>
      <c r="B16" s="405" t="s">
        <v>963</v>
      </c>
      <c r="C16" s="64">
        <f>VLOOKUP(A16,Mach_Name,5)</f>
        <v>294000</v>
      </c>
      <c r="D16" s="80">
        <f>ROUND(SUM(VLOOKUP(A16,Mach_Name,24),VLOOKUP(A16,Mach_Name,25),VLOOKUP(A16,Mach_Name,26)),2)</f>
        <v>83.62</v>
      </c>
      <c r="E16" s="80">
        <f>ROUND(SUM(VLOOKUP(A16,Mach_Name,20),VLOOKUP(A16,Mach_Name,21),VLOOKUP(A16,Mach_Name,22),VLOOKUP(A16,Mach_Name,23)),2)</f>
        <v>98.21</v>
      </c>
      <c r="F16" s="80">
        <f>D16+E16</f>
        <v>181.82999999999998</v>
      </c>
      <c r="G16" s="270">
        <f>ROUND(IF(VLOOKUP(A16,Mach_Name,9)="-","-",(1/((VLOOKUP(A16,Mach_Name,8)*VLOOKUP(A16,Mach_Name,9)*VLOOKUP(A16,Mach_Name,13))/8.25))),2)</f>
        <v>0.01</v>
      </c>
      <c r="H16" s="271" t="s">
        <v>43</v>
      </c>
      <c r="I16" s="271" t="s">
        <v>43</v>
      </c>
      <c r="J16" s="271" t="s">
        <v>43</v>
      </c>
      <c r="K16" s="81">
        <f>ROUND(IF(G16="-","-",D16*G16),2)</f>
        <v>0.84</v>
      </c>
      <c r="L16" s="81">
        <f>ROUND(IF(G16="-","-",E16*G16),2)</f>
        <v>0.98</v>
      </c>
      <c r="M16" s="81">
        <f>IF(G16="-","-",K16+L16)</f>
        <v>1.8199999999999998</v>
      </c>
      <c r="N16" s="78"/>
      <c r="O16" s="90"/>
      <c r="P16" s="90"/>
    </row>
    <row r="17" spans="1:16" ht="15">
      <c r="A17" s="222">
        <v>7</v>
      </c>
      <c r="B17" s="425" t="str">
        <f t="shared" si="0"/>
        <v>HIBOY</v>
      </c>
      <c r="C17" s="64">
        <f t="shared" si="1"/>
        <v>22500</v>
      </c>
      <c r="D17" s="80">
        <f t="shared" si="2"/>
        <v>9.33</v>
      </c>
      <c r="E17" s="80">
        <f t="shared" si="3"/>
        <v>15.55</v>
      </c>
      <c r="F17" s="80">
        <f t="shared" si="8"/>
        <v>24.880000000000003</v>
      </c>
      <c r="G17" s="270">
        <f t="shared" si="4"/>
        <v>0.06</v>
      </c>
      <c r="H17" s="271" t="s">
        <v>43</v>
      </c>
      <c r="I17" s="271" t="s">
        <v>43</v>
      </c>
      <c r="J17" s="271" t="s">
        <v>43</v>
      </c>
      <c r="K17" s="81">
        <f t="shared" si="5"/>
        <v>0.56</v>
      </c>
      <c r="L17" s="81">
        <f t="shared" si="6"/>
        <v>0.93</v>
      </c>
      <c r="M17" s="81">
        <f t="shared" si="7"/>
        <v>1.4900000000000002</v>
      </c>
      <c r="N17" s="78"/>
      <c r="O17" s="90"/>
      <c r="P17" s="90"/>
    </row>
    <row r="18" spans="1:16" ht="15">
      <c r="A18" s="222">
        <v>8</v>
      </c>
      <c r="B18" s="425" t="str">
        <f t="shared" si="0"/>
        <v>TOBACCO COMBINE 1-ROW</v>
      </c>
      <c r="C18" s="64">
        <f t="shared" si="1"/>
        <v>66522.06115503548</v>
      </c>
      <c r="D18" s="80">
        <f t="shared" si="2"/>
        <v>17.89</v>
      </c>
      <c r="E18" s="80">
        <f t="shared" si="3"/>
        <v>35.13</v>
      </c>
      <c r="F18" s="80">
        <f t="shared" si="8"/>
        <v>53.02</v>
      </c>
      <c r="G18" s="270">
        <f t="shared" si="4"/>
        <v>1.56</v>
      </c>
      <c r="H18" s="271" t="s">
        <v>43</v>
      </c>
      <c r="I18" s="271" t="s">
        <v>43</v>
      </c>
      <c r="J18" s="271" t="s">
        <v>43</v>
      </c>
      <c r="K18" s="81">
        <f t="shared" si="5"/>
        <v>27.91</v>
      </c>
      <c r="L18" s="81">
        <f t="shared" si="6"/>
        <v>54.8</v>
      </c>
      <c r="M18" s="81">
        <f t="shared" si="7"/>
        <v>82.71</v>
      </c>
      <c r="N18" s="78"/>
      <c r="O18" s="90"/>
      <c r="P18" s="90"/>
    </row>
    <row r="19" spans="1:16" ht="15">
      <c r="A19" s="222">
        <v>9</v>
      </c>
      <c r="B19" s="425" t="str">
        <f t="shared" si="0"/>
        <v>TOBACCO COMBINE 2-ROW</v>
      </c>
      <c r="C19" s="64">
        <f t="shared" si="1"/>
        <v>90711.90157504838</v>
      </c>
      <c r="D19" s="80">
        <f t="shared" si="2"/>
        <v>24.4</v>
      </c>
      <c r="E19" s="80">
        <f t="shared" si="3"/>
        <v>47.91</v>
      </c>
      <c r="F19" s="80">
        <f t="shared" si="8"/>
        <v>72.31</v>
      </c>
      <c r="G19" s="270">
        <f t="shared" si="4"/>
        <v>1.04</v>
      </c>
      <c r="H19" s="271" t="s">
        <v>43</v>
      </c>
      <c r="I19" s="271" t="s">
        <v>43</v>
      </c>
      <c r="J19" s="271" t="s">
        <v>43</v>
      </c>
      <c r="K19" s="81">
        <f t="shared" si="5"/>
        <v>25.38</v>
      </c>
      <c r="L19" s="81">
        <f t="shared" si="6"/>
        <v>49.83</v>
      </c>
      <c r="M19" s="81">
        <f>IF(G19="-","-",K19+L19)</f>
        <v>75.21</v>
      </c>
      <c r="N19" s="78"/>
      <c r="O19" s="90"/>
      <c r="P19" s="90"/>
    </row>
    <row r="20" spans="1:16" ht="15">
      <c r="A20" s="222">
        <v>10</v>
      </c>
      <c r="B20" s="425" t="str">
        <f t="shared" si="0"/>
        <v>TRACTOR 50-60 HP (1)</v>
      </c>
      <c r="C20" s="64">
        <f t="shared" si="1"/>
        <v>22364.52699385785</v>
      </c>
      <c r="D20" s="80">
        <f t="shared" si="2"/>
        <v>7.31</v>
      </c>
      <c r="E20" s="80">
        <f t="shared" si="3"/>
        <v>4.77</v>
      </c>
      <c r="F20" s="80">
        <f t="shared" si="8"/>
        <v>12.079999999999998</v>
      </c>
      <c r="G20" s="271" t="s">
        <v>43</v>
      </c>
      <c r="H20" s="271" t="s">
        <v>43</v>
      </c>
      <c r="I20" s="271" t="s">
        <v>43</v>
      </c>
      <c r="J20" s="271" t="s">
        <v>43</v>
      </c>
      <c r="K20" s="271" t="s">
        <v>43</v>
      </c>
      <c r="L20" s="271" t="s">
        <v>43</v>
      </c>
      <c r="M20" s="271" t="s">
        <v>43</v>
      </c>
      <c r="N20" s="78"/>
      <c r="O20" s="90"/>
      <c r="P20" s="90"/>
    </row>
    <row r="21" spans="1:16" ht="15">
      <c r="A21" s="222">
        <v>11</v>
      </c>
      <c r="B21" s="425" t="str">
        <f t="shared" si="0"/>
        <v>TRACTOR 70-80 HP (2)</v>
      </c>
      <c r="C21" s="64">
        <f t="shared" si="1"/>
        <v>29429.977858511287</v>
      </c>
      <c r="D21" s="80">
        <f t="shared" si="2"/>
        <v>10.43</v>
      </c>
      <c r="E21" s="80">
        <f t="shared" si="3"/>
        <v>6.28</v>
      </c>
      <c r="F21" s="80">
        <f t="shared" si="8"/>
        <v>16.71</v>
      </c>
      <c r="G21" s="271" t="s">
        <v>43</v>
      </c>
      <c r="H21" s="271" t="s">
        <v>43</v>
      </c>
      <c r="I21" s="271" t="s">
        <v>43</v>
      </c>
      <c r="J21" s="271" t="s">
        <v>43</v>
      </c>
      <c r="K21" s="271" t="s">
        <v>43</v>
      </c>
      <c r="L21" s="271" t="s">
        <v>43</v>
      </c>
      <c r="M21" s="271" t="s">
        <v>43</v>
      </c>
      <c r="N21" s="78"/>
      <c r="O21" s="90"/>
      <c r="P21" s="90"/>
    </row>
    <row r="22" spans="1:16" ht="15">
      <c r="A22" s="222">
        <v>12</v>
      </c>
      <c r="B22" s="425" t="str">
        <f t="shared" si="0"/>
        <v>TRACTOR 95-105 HP (3)</v>
      </c>
      <c r="C22" s="64">
        <f t="shared" si="1"/>
        <v>54548.33417229274</v>
      </c>
      <c r="D22" s="80">
        <f t="shared" si="2"/>
        <v>15.19</v>
      </c>
      <c r="E22" s="80">
        <f t="shared" si="3"/>
        <v>9.7</v>
      </c>
      <c r="F22" s="80">
        <f t="shared" si="8"/>
        <v>24.89</v>
      </c>
      <c r="G22" s="271" t="s">
        <v>43</v>
      </c>
      <c r="H22" s="271" t="s">
        <v>43</v>
      </c>
      <c r="I22" s="271" t="s">
        <v>43</v>
      </c>
      <c r="J22" s="271" t="s">
        <v>43</v>
      </c>
      <c r="K22" s="271" t="s">
        <v>43</v>
      </c>
      <c r="L22" s="271" t="s">
        <v>43</v>
      </c>
      <c r="M22" s="271" t="s">
        <v>43</v>
      </c>
      <c r="N22" s="78"/>
      <c r="O22" s="90"/>
      <c r="P22" s="90"/>
    </row>
    <row r="23" spans="1:16" ht="15">
      <c r="A23" s="222">
        <v>13</v>
      </c>
      <c r="B23" s="425" t="str">
        <f t="shared" si="0"/>
        <v>TRACTOR 115-125 HP (4)</v>
      </c>
      <c r="C23" s="64">
        <f t="shared" si="1"/>
        <v>64054.721834710544</v>
      </c>
      <c r="D23" s="80">
        <f t="shared" si="2"/>
        <v>18.14</v>
      </c>
      <c r="E23" s="80">
        <f t="shared" si="3"/>
        <v>11.39</v>
      </c>
      <c r="F23" s="80">
        <f t="shared" si="8"/>
        <v>29.53</v>
      </c>
      <c r="G23" s="271" t="s">
        <v>43</v>
      </c>
      <c r="H23" s="271" t="s">
        <v>43</v>
      </c>
      <c r="I23" s="271" t="s">
        <v>43</v>
      </c>
      <c r="J23" s="271" t="s">
        <v>43</v>
      </c>
      <c r="K23" s="271" t="s">
        <v>43</v>
      </c>
      <c r="L23" s="271" t="s">
        <v>43</v>
      </c>
      <c r="M23" s="271" t="s">
        <v>43</v>
      </c>
      <c r="N23" s="78"/>
      <c r="O23" s="90"/>
      <c r="P23" s="90"/>
    </row>
    <row r="24" spans="1:16" ht="15">
      <c r="A24" s="222">
        <v>14</v>
      </c>
      <c r="B24" s="425" t="str">
        <f t="shared" si="0"/>
        <v>TRACTOR 135-145 HP (5)</v>
      </c>
      <c r="C24" s="64">
        <f t="shared" si="1"/>
        <v>74385.56498869046</v>
      </c>
      <c r="D24" s="80">
        <f t="shared" si="2"/>
        <v>21.14</v>
      </c>
      <c r="E24" s="80">
        <f>ROUND(SUM(VLOOKUP(A24,Mach_Name,20),VLOOKUP(A24,Mach_Name,21),VLOOKUP(A24,Mach_Name,22),VLOOKUP(A24,Mach_Name,23)),2)</f>
        <v>13.23</v>
      </c>
      <c r="F24" s="80">
        <f t="shared" si="8"/>
        <v>34.370000000000005</v>
      </c>
      <c r="G24" s="271" t="s">
        <v>43</v>
      </c>
      <c r="H24" s="271" t="s">
        <v>43</v>
      </c>
      <c r="I24" s="271" t="s">
        <v>43</v>
      </c>
      <c r="J24" s="271" t="s">
        <v>43</v>
      </c>
      <c r="K24" s="271" t="s">
        <v>43</v>
      </c>
      <c r="L24" s="271" t="s">
        <v>43</v>
      </c>
      <c r="M24" s="271" t="s">
        <v>43</v>
      </c>
      <c r="N24" s="78"/>
      <c r="O24" s="90"/>
      <c r="P24" s="90"/>
    </row>
    <row r="25" spans="1:16" ht="15">
      <c r="A25" s="222">
        <v>15</v>
      </c>
      <c r="B25" s="425" t="str">
        <f t="shared" si="0"/>
        <v>TRACTOR 155-165 HP (6)</v>
      </c>
      <c r="C25" s="64">
        <f t="shared" si="1"/>
        <v>91058.42064719985</v>
      </c>
      <c r="D25" s="80">
        <f t="shared" si="2"/>
        <v>24.55</v>
      </c>
      <c r="E25" s="80">
        <f t="shared" si="3"/>
        <v>16.2</v>
      </c>
      <c r="F25" s="80">
        <f t="shared" si="8"/>
        <v>40.75</v>
      </c>
      <c r="G25" s="271" t="s">
        <v>43</v>
      </c>
      <c r="H25" s="271" t="s">
        <v>43</v>
      </c>
      <c r="I25" s="271" t="s">
        <v>43</v>
      </c>
      <c r="J25" s="271" t="s">
        <v>43</v>
      </c>
      <c r="K25" s="271" t="s">
        <v>43</v>
      </c>
      <c r="L25" s="271" t="s">
        <v>43</v>
      </c>
      <c r="M25" s="271" t="s">
        <v>43</v>
      </c>
      <c r="N25" s="78"/>
      <c r="O25" s="90"/>
      <c r="P25" s="90"/>
    </row>
    <row r="26" spans="1:16" ht="15">
      <c r="A26" s="222">
        <v>16</v>
      </c>
      <c r="B26" s="425" t="str">
        <f t="shared" si="0"/>
        <v>TRACTOR 175-185 HP (7)</v>
      </c>
      <c r="C26" s="64">
        <f t="shared" si="1"/>
        <v>114044.39033596206</v>
      </c>
      <c r="D26" s="80">
        <f t="shared" si="2"/>
        <v>28.39</v>
      </c>
      <c r="E26" s="80">
        <f t="shared" si="3"/>
        <v>20.29</v>
      </c>
      <c r="F26" s="80">
        <f t="shared" si="8"/>
        <v>48.68</v>
      </c>
      <c r="G26" s="271" t="s">
        <v>43</v>
      </c>
      <c r="H26" s="271" t="s">
        <v>43</v>
      </c>
      <c r="I26" s="271" t="s">
        <v>43</v>
      </c>
      <c r="J26" s="271" t="s">
        <v>43</v>
      </c>
      <c r="K26" s="271" t="s">
        <v>43</v>
      </c>
      <c r="L26" s="271" t="s">
        <v>43</v>
      </c>
      <c r="M26" s="271" t="s">
        <v>43</v>
      </c>
      <c r="N26" s="78"/>
      <c r="O26" s="90"/>
      <c r="P26" s="90"/>
    </row>
    <row r="27" spans="1:16" ht="15">
      <c r="A27" s="222">
        <v>17</v>
      </c>
      <c r="B27" s="425" t="str">
        <f t="shared" si="0"/>
        <v>TRACTOR 195-205 HP (8)</v>
      </c>
      <c r="C27" s="64">
        <f t="shared" si="1"/>
        <v>127783.19805646365</v>
      </c>
      <c r="D27" s="80">
        <f t="shared" si="2"/>
        <v>31.61</v>
      </c>
      <c r="E27" s="80">
        <f t="shared" si="3"/>
        <v>22.73</v>
      </c>
      <c r="F27" s="80">
        <f t="shared" si="8"/>
        <v>54.34</v>
      </c>
      <c r="G27" s="271" t="s">
        <v>43</v>
      </c>
      <c r="H27" s="271" t="s">
        <v>43</v>
      </c>
      <c r="I27" s="271" t="s">
        <v>43</v>
      </c>
      <c r="J27" s="271" t="s">
        <v>43</v>
      </c>
      <c r="K27" s="271" t="s">
        <v>43</v>
      </c>
      <c r="L27" s="271" t="s">
        <v>43</v>
      </c>
      <c r="M27" s="271" t="s">
        <v>43</v>
      </c>
      <c r="N27" s="78"/>
      <c r="O27" s="90"/>
      <c r="P27" s="90"/>
    </row>
    <row r="28" spans="1:16" ht="15">
      <c r="A28" s="222">
        <v>17.1</v>
      </c>
      <c r="B28" s="425" t="str">
        <f t="shared" si="0"/>
        <v>VEGETABLE PICKER  4-ROW</v>
      </c>
      <c r="C28" s="64">
        <f t="shared" si="1"/>
        <v>169328.88294009032</v>
      </c>
      <c r="D28" s="80">
        <f t="shared" si="2"/>
        <v>50.33</v>
      </c>
      <c r="E28" s="80">
        <f t="shared" si="3"/>
        <v>84.89</v>
      </c>
      <c r="F28" s="80">
        <f>D28+E28</f>
        <v>135.22</v>
      </c>
      <c r="G28" s="270">
        <f>ROUND(IF(VLOOKUP(A28,Mach_Name,9)="-","-",(1/((VLOOKUP(A28,Mach_Name,8)*VLOOKUP(A28,Mach_Name,9)*VLOOKUP(A28,Mach_Name,13))/8.25))),2)</f>
        <v>0.25</v>
      </c>
      <c r="H28" s="271" t="s">
        <v>43</v>
      </c>
      <c r="I28" s="271" t="s">
        <v>43</v>
      </c>
      <c r="J28" s="271" t="s">
        <v>43</v>
      </c>
      <c r="K28" s="81">
        <f>ROUND(IF(G28="-","-",D28*G28),2)</f>
        <v>12.58</v>
      </c>
      <c r="L28" s="81">
        <f>ROUND(IF(G28="-","-",E28*G28),2)</f>
        <v>21.22</v>
      </c>
      <c r="M28" s="81">
        <f>IF(G28="-","-",K28+L28)</f>
        <v>33.8</v>
      </c>
      <c r="N28" s="78"/>
      <c r="O28" s="90"/>
      <c r="P28" s="90"/>
    </row>
    <row r="29" spans="1:16" ht="15">
      <c r="A29" s="222">
        <v>17.2</v>
      </c>
      <c r="B29" s="425" t="str">
        <f t="shared" si="0"/>
        <v>VEGETABLE PICKER  1-ROW</v>
      </c>
      <c r="C29" s="64">
        <f t="shared" si="1"/>
        <v>29027.808504015484</v>
      </c>
      <c r="D29" s="80">
        <f t="shared" si="2"/>
        <v>10.62</v>
      </c>
      <c r="E29" s="80">
        <f t="shared" si="3"/>
        <v>13.2</v>
      </c>
      <c r="F29" s="80">
        <f>D29+E29</f>
        <v>23.82</v>
      </c>
      <c r="G29" s="270">
        <f>ROUND(IF(VLOOKUP(A29,Mach_Name,9)="-","-",(1/((VLOOKUP(A29,Mach_Name,8)*VLOOKUP(A29,Mach_Name,9)*VLOOKUP(A29,Mach_Name,13))/8.25))),2)</f>
        <v>0.79</v>
      </c>
      <c r="H29" s="271" t="s">
        <v>43</v>
      </c>
      <c r="I29" s="271" t="s">
        <v>43</v>
      </c>
      <c r="J29" s="271" t="s">
        <v>43</v>
      </c>
      <c r="K29" s="81">
        <f>ROUND(IF(G29="-","-",D29*G29),2)</f>
        <v>8.39</v>
      </c>
      <c r="L29" s="81">
        <f>ROUND(IF(G29="-","-",E29*G29),2)</f>
        <v>10.43</v>
      </c>
      <c r="M29" s="81">
        <f>IF(G29="-","-",K29+L29)</f>
        <v>18.82</v>
      </c>
      <c r="N29" s="78"/>
      <c r="O29" s="90"/>
      <c r="P29" s="90"/>
    </row>
    <row r="30" spans="1:16" ht="15">
      <c r="A30" s="222">
        <v>17.3</v>
      </c>
      <c r="B30" s="425" t="str">
        <f>VLOOKUP(A30,Mach_Name,2)</f>
        <v>FORAGE HARVESTER</v>
      </c>
      <c r="C30" s="64">
        <f>VLOOKUP(A30,Mach_Name,5)</f>
        <v>98542.5</v>
      </c>
      <c r="D30" s="80">
        <f>ROUND(SUM(VLOOKUP(A30,Mach_Name,24),VLOOKUP(A30,Mach_Name,25),VLOOKUP(A30,Mach_Name,26)),2)</f>
        <v>32.16</v>
      </c>
      <c r="E30" s="80">
        <f>ROUND(SUM(VLOOKUP(A30,Mach_Name,20),VLOOKUP(A30,Mach_Name,21),VLOOKUP(A30,Mach_Name,22),VLOOKUP(A30,Mach_Name,23)),2)</f>
        <v>38.14</v>
      </c>
      <c r="F30" s="80">
        <f>D30+E30</f>
        <v>70.3</v>
      </c>
      <c r="G30" s="270">
        <f>ROUND(IF(VLOOKUP(A30,Mach_Name,9)="-","-",(1/((VLOOKUP(A30,Mach_Name,8)*VLOOKUP(A30,Mach_Name,9)*VLOOKUP(A30,Mach_Name,13))/8.25))),2)</f>
        <v>0.56</v>
      </c>
      <c r="H30" s="271" t="s">
        <v>43</v>
      </c>
      <c r="I30" s="271" t="s">
        <v>43</v>
      </c>
      <c r="J30" s="271" t="s">
        <v>43</v>
      </c>
      <c r="K30" s="81">
        <f>ROUND(IF(G30="-","-",D30*G30),2)</f>
        <v>18.01</v>
      </c>
      <c r="L30" s="81">
        <f>ROUND(IF(G30="-","-",E30*G30),2)</f>
        <v>21.36</v>
      </c>
      <c r="M30" s="81">
        <f>IF(G30="-","-",K30+L30)</f>
        <v>39.370000000000005</v>
      </c>
      <c r="N30" s="78"/>
      <c r="O30" s="90"/>
      <c r="P30" s="90"/>
    </row>
    <row r="31" spans="1:16" ht="15">
      <c r="A31" s="88"/>
      <c r="B31" s="82"/>
      <c r="C31" s="272"/>
      <c r="D31" s="80"/>
      <c r="E31" s="273"/>
      <c r="F31" s="80"/>
      <c r="G31" s="81"/>
      <c r="H31" s="81"/>
      <c r="I31" s="83"/>
      <c r="J31" s="81"/>
      <c r="K31" s="81"/>
      <c r="L31" s="81"/>
      <c r="M31" s="81"/>
      <c r="N31" s="78"/>
      <c r="O31" s="90"/>
      <c r="P31" s="90"/>
    </row>
    <row r="32" spans="1:16" ht="15">
      <c r="A32" s="92" t="s">
        <v>47</v>
      </c>
      <c r="B32" s="82"/>
      <c r="C32" s="64"/>
      <c r="D32" s="80"/>
      <c r="E32" s="80"/>
      <c r="F32" s="80"/>
      <c r="G32" s="81"/>
      <c r="H32" s="81"/>
      <c r="I32" s="83"/>
      <c r="J32" s="81"/>
      <c r="K32" s="81"/>
      <c r="L32" s="81"/>
      <c r="M32" s="81"/>
      <c r="N32" s="78"/>
      <c r="O32" s="90"/>
      <c r="P32" s="90"/>
    </row>
    <row r="33" spans="1:16" ht="15">
      <c r="A33" s="222">
        <v>18</v>
      </c>
      <c r="B33" s="425" t="str">
        <f aca="true" t="shared" si="9" ref="B33:B66">VLOOKUP(A33,Mach_Name,2)</f>
        <v>4-BOTTOM FLIP PLOW</v>
      </c>
      <c r="C33" s="64">
        <f aca="true" t="shared" si="10" ref="C33:C66">VLOOKUP(A33,Mach_Name,5)</f>
        <v>5750.537421270761</v>
      </c>
      <c r="D33" s="80">
        <f aca="true" t="shared" si="11" ref="D33:D66">ROUND(SUM(VLOOKUP(A33,Mach_Name,24)),2)</f>
        <v>4.54</v>
      </c>
      <c r="E33" s="80">
        <f aca="true" t="shared" si="12" ref="E33:E66">ROUND(SUM(VLOOKUP(A33,Mach_Name,20),VLOOKUP(A33,Mach_Name,21),VLOOKUP(A33,Mach_Name,22),VLOOKUP(A33,Mach_Name,23)),2)</f>
        <v>2.98</v>
      </c>
      <c r="F33" s="80">
        <f aca="true" t="shared" si="13" ref="F33:F103">D33+E33</f>
        <v>7.52</v>
      </c>
      <c r="G33" s="270">
        <f aca="true" t="shared" si="14" ref="G33:G66">ROUND(IF(VLOOKUP(A33,Mach_Name,9)="-","-",(1/((VLOOKUP(A33,Mach_Name,8)*VLOOKUP(A33,Mach_Name,9)*VLOOKUP(A33,Mach_Name,13))/8.25))),2)</f>
        <v>0.25</v>
      </c>
      <c r="H33" s="270">
        <f>ROUND(G33*D33,2)</f>
        <v>1.14</v>
      </c>
      <c r="I33" s="81">
        <f>ROUND(G33*E33,2)</f>
        <v>0.75</v>
      </c>
      <c r="J33" s="81">
        <f>H33+I33</f>
        <v>1.89</v>
      </c>
      <c r="K33" s="81">
        <f>ROUND(IF(VLOOKUP(A33,Mach_Name,7)="-",VLOOKUP(A33,Mach_Cost,8),(VLOOKUP(VLOOKUP(A33,Mach_Name,7),Mach_Cost,4)+VLOOKUP(A33,Mach_Cost,4))*VLOOKUP(A33,Mach_Cost,7)),2)</f>
        <v>3.74</v>
      </c>
      <c r="L33" s="81">
        <f>ROUND(IF(VLOOKUP(A33,Mach_Name,7)="-",VLOOKUP(A33,Mach_Cost,9),(VLOOKUP(VLOOKUP(A33,Mach_Name,7),Mach_Cost,5)+VLOOKUP(A33,Mach_Cost,5))*VLOOKUP(A33,Mach_Cost,7)),2)</f>
        <v>2.32</v>
      </c>
      <c r="M33" s="81">
        <f>K33+L33</f>
        <v>6.0600000000000005</v>
      </c>
      <c r="N33" s="78"/>
      <c r="O33" s="90"/>
      <c r="P33" s="90"/>
    </row>
    <row r="34" spans="1:16" ht="15">
      <c r="A34" s="222">
        <v>19</v>
      </c>
      <c r="B34" s="425" t="str">
        <f t="shared" si="9"/>
        <v>5-BOTTOM PLOW</v>
      </c>
      <c r="C34" s="64">
        <f t="shared" si="10"/>
        <v>10264.438453764942</v>
      </c>
      <c r="D34" s="80">
        <f t="shared" si="11"/>
        <v>8.11</v>
      </c>
      <c r="E34" s="80">
        <f t="shared" si="12"/>
        <v>5.32</v>
      </c>
      <c r="F34" s="80">
        <f t="shared" si="13"/>
        <v>13.43</v>
      </c>
      <c r="G34" s="270">
        <f t="shared" si="14"/>
        <v>0.2</v>
      </c>
      <c r="H34" s="270">
        <f aca="true" t="shared" si="15" ref="H34:H104">ROUND(G34*D34,2)</f>
        <v>1.62</v>
      </c>
      <c r="I34" s="81">
        <f aca="true" t="shared" si="16" ref="I34:I104">ROUND(G34*E34,2)</f>
        <v>1.06</v>
      </c>
      <c r="J34" s="81">
        <f aca="true" t="shared" si="17" ref="J34:J104">H34+I34</f>
        <v>2.68</v>
      </c>
      <c r="K34" s="81">
        <f>ROUND(IF(VLOOKUP(A34,Mach_Name,7)="-",VLOOKUP(A34,Mach_Cost,8),(VLOOKUP(VLOOKUP(A34,Mach_Name,7),Mach_Cost,4)+VLOOKUP(A34,Mach_Cost,4))*VLOOKUP(A34,Mach_Cost,7)),2)</f>
        <v>4.66</v>
      </c>
      <c r="L34" s="81">
        <f>ROUND(IF(VLOOKUP(A34,Mach_Name,7)="-",VLOOKUP(A34,Mach_Cost,9),(VLOOKUP(VLOOKUP(A34,Mach_Name,7),Mach_Cost,5)+VLOOKUP(A34,Mach_Cost,5))*VLOOKUP(A34,Mach_Cost,7)),2)</f>
        <v>3</v>
      </c>
      <c r="M34" s="81">
        <f>K34+L34</f>
        <v>7.66</v>
      </c>
      <c r="N34" s="78"/>
      <c r="O34" s="90"/>
      <c r="P34" s="90"/>
    </row>
    <row r="35" spans="1:16" ht="15">
      <c r="A35" s="222">
        <v>20</v>
      </c>
      <c r="B35" s="425" t="str">
        <f t="shared" si="9"/>
        <v>BALE WAGON</v>
      </c>
      <c r="C35" s="64">
        <f t="shared" si="10"/>
        <v>5849.432915780209</v>
      </c>
      <c r="D35" s="80">
        <f t="shared" si="11"/>
        <v>2.28</v>
      </c>
      <c r="E35" s="80">
        <f t="shared" si="12"/>
        <v>4.53</v>
      </c>
      <c r="F35" s="80">
        <f t="shared" si="13"/>
        <v>6.8100000000000005</v>
      </c>
      <c r="G35" s="270">
        <f t="shared" si="14"/>
        <v>0.17</v>
      </c>
      <c r="H35" s="270">
        <f t="shared" si="15"/>
        <v>0.39</v>
      </c>
      <c r="I35" s="81">
        <f t="shared" si="16"/>
        <v>0.77</v>
      </c>
      <c r="J35" s="81">
        <f t="shared" si="17"/>
        <v>1.1600000000000001</v>
      </c>
      <c r="K35" s="81">
        <f aca="true" t="shared" si="18" ref="K35:K58">ROUND(IF(VLOOKUP(A35,Mach_Name,7)="-",VLOOKUP(A35,Mach_Cost,8),(VLOOKUP(VLOOKUP(A35,Mach_Name,7),Mach_Cost,4)+VLOOKUP(A35,Mach_Cost,4))*VLOOKUP(A35,Mach_Cost,7)),2)</f>
        <v>1.63</v>
      </c>
      <c r="L35" s="81">
        <f aca="true" t="shared" si="19" ref="L35:L58">ROUND(IF(VLOOKUP(A35,Mach_Name,7)="-",VLOOKUP(A35,Mach_Cost,9),(VLOOKUP(VLOOKUP(A35,Mach_Name,7),Mach_Cost,5)+VLOOKUP(A35,Mach_Cost,5))*VLOOKUP(A35,Mach_Cost,7)),2)</f>
        <v>1.58</v>
      </c>
      <c r="M35" s="81">
        <f aca="true" t="shared" si="20" ref="M35:M105">K35+L35</f>
        <v>3.21</v>
      </c>
      <c r="N35" s="78"/>
      <c r="O35" s="90"/>
      <c r="P35" s="90"/>
    </row>
    <row r="36" spans="1:16" ht="15">
      <c r="A36" s="222">
        <v>21</v>
      </c>
      <c r="B36" s="425" t="str">
        <f t="shared" si="9"/>
        <v>CHISEL PLOW 12'</v>
      </c>
      <c r="C36" s="64">
        <f t="shared" si="10"/>
        <v>6661.032479572139</v>
      </c>
      <c r="D36" s="80">
        <f t="shared" si="11"/>
        <v>1.11</v>
      </c>
      <c r="E36" s="80">
        <f t="shared" si="12"/>
        <v>5.75</v>
      </c>
      <c r="F36" s="80">
        <f t="shared" si="13"/>
        <v>6.86</v>
      </c>
      <c r="G36" s="270">
        <f t="shared" si="14"/>
        <v>0.2</v>
      </c>
      <c r="H36" s="270">
        <f t="shared" si="15"/>
        <v>0.22</v>
      </c>
      <c r="I36" s="81">
        <f t="shared" si="16"/>
        <v>1.15</v>
      </c>
      <c r="J36" s="81">
        <f t="shared" si="17"/>
        <v>1.3699999999999999</v>
      </c>
      <c r="K36" s="81">
        <f t="shared" si="18"/>
        <v>3.26</v>
      </c>
      <c r="L36" s="81">
        <f t="shared" si="19"/>
        <v>3.09</v>
      </c>
      <c r="M36" s="81">
        <f t="shared" si="20"/>
        <v>6.35</v>
      </c>
      <c r="N36" s="78"/>
      <c r="O36" s="90"/>
      <c r="P36" s="90"/>
    </row>
    <row r="37" spans="1:16" ht="15">
      <c r="A37" s="222">
        <v>22</v>
      </c>
      <c r="B37" s="425" t="str">
        <f t="shared" si="9"/>
        <v>CHISEL PLOW 14'</v>
      </c>
      <c r="C37" s="64">
        <f t="shared" si="10"/>
        <v>7759.118732133651</v>
      </c>
      <c r="D37" s="80">
        <f t="shared" si="11"/>
        <v>1.3</v>
      </c>
      <c r="E37" s="80">
        <f t="shared" si="12"/>
        <v>6.7</v>
      </c>
      <c r="F37" s="80">
        <f t="shared" si="13"/>
        <v>8</v>
      </c>
      <c r="G37" s="270">
        <f t="shared" si="14"/>
        <v>0.17</v>
      </c>
      <c r="H37" s="270">
        <f t="shared" si="15"/>
        <v>0.22</v>
      </c>
      <c r="I37" s="81">
        <f t="shared" si="16"/>
        <v>1.14</v>
      </c>
      <c r="J37" s="81">
        <f t="shared" si="17"/>
        <v>1.3599999999999999</v>
      </c>
      <c r="K37" s="81">
        <f t="shared" si="18"/>
        <v>2.8</v>
      </c>
      <c r="L37" s="81">
        <f t="shared" si="19"/>
        <v>2.79</v>
      </c>
      <c r="M37" s="81">
        <f t="shared" si="20"/>
        <v>5.59</v>
      </c>
      <c r="N37" s="78"/>
      <c r="O37" s="90"/>
      <c r="P37" s="90"/>
    </row>
    <row r="38" spans="1:16" ht="15">
      <c r="A38" s="222">
        <v>23</v>
      </c>
      <c r="B38" s="425" t="str">
        <f t="shared" si="9"/>
        <v>CHISEL PLOW 18'</v>
      </c>
      <c r="C38" s="64">
        <f t="shared" si="10"/>
        <v>11888.506555623695</v>
      </c>
      <c r="D38" s="80">
        <f t="shared" si="11"/>
        <v>1.99</v>
      </c>
      <c r="E38" s="80">
        <f t="shared" si="12"/>
        <v>10.27</v>
      </c>
      <c r="F38" s="80">
        <f t="shared" si="13"/>
        <v>12.26</v>
      </c>
      <c r="G38" s="270">
        <f t="shared" si="14"/>
        <v>0.12</v>
      </c>
      <c r="H38" s="270">
        <f t="shared" si="15"/>
        <v>0.24</v>
      </c>
      <c r="I38" s="81">
        <f t="shared" si="16"/>
        <v>1.23</v>
      </c>
      <c r="J38" s="81">
        <f t="shared" si="17"/>
        <v>1.47</v>
      </c>
      <c r="K38" s="81">
        <f t="shared" si="18"/>
        <v>2.42</v>
      </c>
      <c r="L38" s="81">
        <f t="shared" si="19"/>
        <v>2.6</v>
      </c>
      <c r="M38" s="81">
        <f t="shared" si="20"/>
        <v>5.02</v>
      </c>
      <c r="N38" s="78"/>
      <c r="O38" s="90"/>
      <c r="P38" s="90"/>
    </row>
    <row r="39" spans="1:16" ht="15">
      <c r="A39" s="222">
        <v>24</v>
      </c>
      <c r="B39" s="425" t="str">
        <f t="shared" si="9"/>
        <v>COTTON TRAILER</v>
      </c>
      <c r="C39" s="64">
        <f t="shared" si="10"/>
        <v>6350.308274175619</v>
      </c>
      <c r="D39" s="80">
        <f t="shared" si="11"/>
        <v>3.35</v>
      </c>
      <c r="E39" s="80">
        <f t="shared" si="12"/>
        <v>4.37</v>
      </c>
      <c r="F39" s="80">
        <f t="shared" si="13"/>
        <v>7.720000000000001</v>
      </c>
      <c r="G39" s="270">
        <f t="shared" si="14"/>
        <v>0.34</v>
      </c>
      <c r="H39" s="270">
        <f t="shared" si="15"/>
        <v>1.14</v>
      </c>
      <c r="I39" s="81">
        <f t="shared" si="16"/>
        <v>1.49</v>
      </c>
      <c r="J39" s="81">
        <f t="shared" si="17"/>
        <v>2.63</v>
      </c>
      <c r="K39" s="81">
        <f t="shared" si="18"/>
        <v>3.62</v>
      </c>
      <c r="L39" s="81">
        <f t="shared" si="19"/>
        <v>3.11</v>
      </c>
      <c r="M39" s="81">
        <f t="shared" si="20"/>
        <v>6.73</v>
      </c>
      <c r="N39" s="78"/>
      <c r="O39" s="90"/>
      <c r="P39" s="90"/>
    </row>
    <row r="40" spans="1:16" ht="15">
      <c r="A40" s="222">
        <v>25</v>
      </c>
      <c r="B40" s="425" t="str">
        <f t="shared" si="9"/>
        <v>CULTIPACKER</v>
      </c>
      <c r="C40" s="64">
        <f t="shared" si="10"/>
        <v>2730.3507509984497</v>
      </c>
      <c r="D40" s="80">
        <f t="shared" si="11"/>
        <v>0.36</v>
      </c>
      <c r="E40" s="80">
        <f t="shared" si="12"/>
        <v>3.34</v>
      </c>
      <c r="F40" s="80">
        <f t="shared" si="13"/>
        <v>3.6999999999999997</v>
      </c>
      <c r="G40" s="270">
        <f t="shared" si="14"/>
        <v>0.2</v>
      </c>
      <c r="H40" s="270">
        <f t="shared" si="15"/>
        <v>0.07</v>
      </c>
      <c r="I40" s="81">
        <f t="shared" si="16"/>
        <v>0.67</v>
      </c>
      <c r="J40" s="81">
        <f t="shared" si="17"/>
        <v>0.74</v>
      </c>
      <c r="K40" s="81">
        <f t="shared" si="18"/>
        <v>2.16</v>
      </c>
      <c r="L40" s="81">
        <f t="shared" si="19"/>
        <v>1.92</v>
      </c>
      <c r="M40" s="81">
        <f t="shared" si="20"/>
        <v>4.08</v>
      </c>
      <c r="N40" s="78"/>
      <c r="O40" s="90"/>
      <c r="P40" s="90"/>
    </row>
    <row r="41" spans="1:16" ht="15">
      <c r="A41" s="222">
        <v>26</v>
      </c>
      <c r="B41" s="425" t="str">
        <f t="shared" si="9"/>
        <v>CULTIVATOR 1-ROW</v>
      </c>
      <c r="C41" s="64">
        <f t="shared" si="10"/>
        <v>1093.4350322776659</v>
      </c>
      <c r="D41" s="80">
        <f t="shared" si="11"/>
        <v>0.24</v>
      </c>
      <c r="E41" s="80">
        <f t="shared" si="12"/>
        <v>1.26</v>
      </c>
      <c r="F41" s="80">
        <f t="shared" si="13"/>
        <v>1.5</v>
      </c>
      <c r="G41" s="270">
        <f t="shared" si="14"/>
        <v>1.18</v>
      </c>
      <c r="H41" s="270">
        <f t="shared" si="15"/>
        <v>0.28</v>
      </c>
      <c r="I41" s="81">
        <f t="shared" si="16"/>
        <v>1.49</v>
      </c>
      <c r="J41" s="81">
        <f t="shared" si="17"/>
        <v>1.77</v>
      </c>
      <c r="K41" s="81">
        <f t="shared" si="18"/>
        <v>8.91</v>
      </c>
      <c r="L41" s="81">
        <f t="shared" si="19"/>
        <v>7.12</v>
      </c>
      <c r="M41" s="81">
        <f t="shared" si="20"/>
        <v>16.03</v>
      </c>
      <c r="N41" s="78"/>
      <c r="O41" s="90"/>
      <c r="P41" s="90"/>
    </row>
    <row r="42" spans="1:16" ht="15">
      <c r="A42" s="222">
        <v>27</v>
      </c>
      <c r="B42" s="425" t="str">
        <f t="shared" si="9"/>
        <v>CULTIVATOR 2-ROW</v>
      </c>
      <c r="C42" s="64">
        <f t="shared" si="10"/>
        <v>2336.6654500359423</v>
      </c>
      <c r="D42" s="80">
        <f t="shared" si="11"/>
        <v>0.5</v>
      </c>
      <c r="E42" s="80">
        <f t="shared" si="12"/>
        <v>2.69</v>
      </c>
      <c r="F42" s="80">
        <f t="shared" si="13"/>
        <v>3.19</v>
      </c>
      <c r="G42" s="270">
        <f t="shared" si="14"/>
        <v>0.56</v>
      </c>
      <c r="H42" s="270">
        <f t="shared" si="15"/>
        <v>0.28</v>
      </c>
      <c r="I42" s="81">
        <f t="shared" si="16"/>
        <v>1.51</v>
      </c>
      <c r="J42" s="81">
        <f t="shared" si="17"/>
        <v>1.79</v>
      </c>
      <c r="K42" s="81">
        <f t="shared" si="18"/>
        <v>4.37</v>
      </c>
      <c r="L42" s="81">
        <f t="shared" si="19"/>
        <v>4.18</v>
      </c>
      <c r="M42" s="81">
        <f t="shared" si="20"/>
        <v>8.55</v>
      </c>
      <c r="N42" s="78"/>
      <c r="O42" s="90"/>
      <c r="P42" s="90"/>
    </row>
    <row r="43" spans="1:16" ht="15">
      <c r="A43" s="222">
        <v>28</v>
      </c>
      <c r="B43" s="425" t="str">
        <f t="shared" si="9"/>
        <v>CULTIVATOR 4-ROW</v>
      </c>
      <c r="C43" s="64">
        <f t="shared" si="10"/>
        <v>3945.090221256177</v>
      </c>
      <c r="D43" s="80">
        <f t="shared" si="11"/>
        <v>1.05</v>
      </c>
      <c r="E43" s="80">
        <f t="shared" si="12"/>
        <v>3.59</v>
      </c>
      <c r="F43" s="80">
        <f t="shared" si="13"/>
        <v>4.64</v>
      </c>
      <c r="G43" s="270">
        <f t="shared" si="14"/>
        <v>0.23</v>
      </c>
      <c r="H43" s="270">
        <f t="shared" si="15"/>
        <v>0.24</v>
      </c>
      <c r="I43" s="81">
        <f t="shared" si="16"/>
        <v>0.83</v>
      </c>
      <c r="J43" s="81">
        <f t="shared" si="17"/>
        <v>1.0699999999999998</v>
      </c>
      <c r="K43" s="81">
        <f t="shared" si="18"/>
        <v>2.64</v>
      </c>
      <c r="L43" s="81">
        <f t="shared" si="19"/>
        <v>2.27</v>
      </c>
      <c r="M43" s="81">
        <f t="shared" si="20"/>
        <v>4.91</v>
      </c>
      <c r="N43" s="78"/>
      <c r="O43" s="90"/>
      <c r="P43" s="90"/>
    </row>
    <row r="44" spans="1:16" ht="15">
      <c r="A44" s="222">
        <v>29</v>
      </c>
      <c r="B44" s="425" t="str">
        <f t="shared" si="9"/>
        <v>CULTIVATOR 6-ROW</v>
      </c>
      <c r="C44" s="64">
        <f t="shared" si="10"/>
        <v>5259.801723745948</v>
      </c>
      <c r="D44" s="80">
        <f t="shared" si="11"/>
        <v>1.67</v>
      </c>
      <c r="E44" s="80">
        <f t="shared" si="12"/>
        <v>3.83</v>
      </c>
      <c r="F44" s="80">
        <f t="shared" si="13"/>
        <v>5.5</v>
      </c>
      <c r="G44" s="270">
        <f t="shared" si="14"/>
        <v>0.17</v>
      </c>
      <c r="H44" s="270">
        <f t="shared" si="15"/>
        <v>0.28</v>
      </c>
      <c r="I44" s="81">
        <f t="shared" si="16"/>
        <v>0.65</v>
      </c>
      <c r="J44" s="81">
        <f t="shared" si="17"/>
        <v>0.93</v>
      </c>
      <c r="K44" s="81">
        <f t="shared" si="18"/>
        <v>2.06</v>
      </c>
      <c r="L44" s="81">
        <f t="shared" si="19"/>
        <v>1.72</v>
      </c>
      <c r="M44" s="81">
        <f t="shared" si="20"/>
        <v>3.7800000000000002</v>
      </c>
      <c r="N44" s="78"/>
      <c r="O44" s="90"/>
      <c r="P44" s="90"/>
    </row>
    <row r="45" spans="1:16" ht="15">
      <c r="A45" s="222">
        <v>30</v>
      </c>
      <c r="B45" s="425" t="str">
        <f t="shared" si="9"/>
        <v>CULTIVATOR W/ HERB.&amp;INSEC. 6-ROW</v>
      </c>
      <c r="C45" s="64">
        <f t="shared" si="10"/>
        <v>6594.889918196874</v>
      </c>
      <c r="D45" s="80">
        <f t="shared" si="11"/>
        <v>1.89</v>
      </c>
      <c r="E45" s="80">
        <f t="shared" si="12"/>
        <v>7.6</v>
      </c>
      <c r="F45" s="80">
        <f t="shared" si="13"/>
        <v>9.49</v>
      </c>
      <c r="G45" s="270">
        <f t="shared" si="14"/>
        <v>0.17</v>
      </c>
      <c r="H45" s="270">
        <f t="shared" si="15"/>
        <v>0.32</v>
      </c>
      <c r="I45" s="81">
        <f t="shared" si="16"/>
        <v>1.29</v>
      </c>
      <c r="J45" s="81">
        <f t="shared" si="17"/>
        <v>1.61</v>
      </c>
      <c r="K45" s="81">
        <f t="shared" si="18"/>
        <v>2.09</v>
      </c>
      <c r="L45" s="81">
        <f t="shared" si="19"/>
        <v>2.36</v>
      </c>
      <c r="M45" s="81">
        <f t="shared" si="20"/>
        <v>4.449999999999999</v>
      </c>
      <c r="N45" s="78"/>
      <c r="O45" s="90"/>
      <c r="P45" s="90"/>
    </row>
    <row r="46" spans="1:16" ht="15">
      <c r="A46" s="222">
        <v>31</v>
      </c>
      <c r="B46" s="425" t="str">
        <f t="shared" si="9"/>
        <v>CULTIVATOR W/ HERBICIDE 6-ROW</v>
      </c>
      <c r="C46" s="64">
        <f t="shared" si="10"/>
        <v>5997.708529048587</v>
      </c>
      <c r="D46" s="80">
        <f t="shared" si="11"/>
        <v>1.72</v>
      </c>
      <c r="E46" s="80">
        <f t="shared" si="12"/>
        <v>6.91</v>
      </c>
      <c r="F46" s="80">
        <f t="shared" si="13"/>
        <v>8.63</v>
      </c>
      <c r="G46" s="270">
        <f t="shared" si="14"/>
        <v>0.17</v>
      </c>
      <c r="H46" s="270">
        <f t="shared" si="15"/>
        <v>0.29</v>
      </c>
      <c r="I46" s="81">
        <f t="shared" si="16"/>
        <v>1.17</v>
      </c>
      <c r="J46" s="81">
        <f t="shared" si="17"/>
        <v>1.46</v>
      </c>
      <c r="K46" s="81">
        <f t="shared" si="18"/>
        <v>2.07</v>
      </c>
      <c r="L46" s="81">
        <f t="shared" si="19"/>
        <v>2.24</v>
      </c>
      <c r="M46" s="81">
        <f t="shared" si="20"/>
        <v>4.3100000000000005</v>
      </c>
      <c r="N46" s="78"/>
      <c r="O46" s="90"/>
      <c r="P46" s="90"/>
    </row>
    <row r="47" spans="1:16" ht="15">
      <c r="A47" s="222">
        <v>32</v>
      </c>
      <c r="B47" s="425" t="str">
        <f t="shared" si="9"/>
        <v>CULTIVATOR W/ INSECTICIDE 6-ROW</v>
      </c>
      <c r="C47" s="64">
        <f t="shared" si="10"/>
        <v>5997.708529048587</v>
      </c>
      <c r="D47" s="80">
        <f t="shared" si="11"/>
        <v>1.72</v>
      </c>
      <c r="E47" s="80">
        <f t="shared" si="12"/>
        <v>6.91</v>
      </c>
      <c r="F47" s="80">
        <f t="shared" si="13"/>
        <v>8.63</v>
      </c>
      <c r="G47" s="270">
        <f t="shared" si="14"/>
        <v>0.17</v>
      </c>
      <c r="H47" s="270">
        <f t="shared" si="15"/>
        <v>0.29</v>
      </c>
      <c r="I47" s="81">
        <f t="shared" si="16"/>
        <v>1.17</v>
      </c>
      <c r="J47" s="81">
        <f t="shared" si="17"/>
        <v>1.46</v>
      </c>
      <c r="K47" s="81">
        <f t="shared" si="18"/>
        <v>2.07</v>
      </c>
      <c r="L47" s="81">
        <f t="shared" si="19"/>
        <v>2.24</v>
      </c>
      <c r="M47" s="81">
        <f t="shared" si="20"/>
        <v>4.3100000000000005</v>
      </c>
      <c r="N47" s="78"/>
      <c r="O47" s="90"/>
      <c r="P47" s="90"/>
    </row>
    <row r="48" spans="1:16" ht="15">
      <c r="A48" s="222">
        <v>33</v>
      </c>
      <c r="B48" s="425" t="str">
        <f t="shared" si="9"/>
        <v>CULTIVATOR W/ SPRAYER 6-ROW</v>
      </c>
      <c r="C48" s="64">
        <f t="shared" si="10"/>
        <v>5997.708529048587</v>
      </c>
      <c r="D48" s="80">
        <f t="shared" si="11"/>
        <v>1.72</v>
      </c>
      <c r="E48" s="80">
        <f t="shared" si="12"/>
        <v>6.91</v>
      </c>
      <c r="F48" s="80">
        <f t="shared" si="13"/>
        <v>8.63</v>
      </c>
      <c r="G48" s="270">
        <f t="shared" si="14"/>
        <v>0.17</v>
      </c>
      <c r="H48" s="270">
        <f t="shared" si="15"/>
        <v>0.29</v>
      </c>
      <c r="I48" s="81">
        <f t="shared" si="16"/>
        <v>1.17</v>
      </c>
      <c r="J48" s="81">
        <f t="shared" si="17"/>
        <v>1.46</v>
      </c>
      <c r="K48" s="81">
        <f t="shared" si="18"/>
        <v>2.07</v>
      </c>
      <c r="L48" s="81">
        <f t="shared" si="19"/>
        <v>2.24</v>
      </c>
      <c r="M48" s="81">
        <f t="shared" si="20"/>
        <v>4.3100000000000005</v>
      </c>
      <c r="N48" s="78"/>
      <c r="O48" s="90"/>
      <c r="P48" s="90"/>
    </row>
    <row r="49" spans="1:16" ht="15">
      <c r="A49" s="222">
        <v>34</v>
      </c>
      <c r="B49" s="425" t="str">
        <f t="shared" si="9"/>
        <v>DIGGER INVERTER 2-ROW</v>
      </c>
      <c r="C49" s="64">
        <f t="shared" si="10"/>
        <v>7486.7483894686375</v>
      </c>
      <c r="D49" s="80">
        <f t="shared" si="11"/>
        <v>5.8</v>
      </c>
      <c r="E49" s="80">
        <f t="shared" si="12"/>
        <v>8.55</v>
      </c>
      <c r="F49" s="80">
        <f t="shared" si="13"/>
        <v>14.350000000000001</v>
      </c>
      <c r="G49" s="270">
        <f t="shared" si="14"/>
        <v>0.92</v>
      </c>
      <c r="H49" s="270">
        <f t="shared" si="15"/>
        <v>5.34</v>
      </c>
      <c r="I49" s="81">
        <f t="shared" si="16"/>
        <v>7.87</v>
      </c>
      <c r="J49" s="81">
        <f t="shared" si="17"/>
        <v>13.21</v>
      </c>
      <c r="K49" s="81">
        <f t="shared" si="18"/>
        <v>19.31</v>
      </c>
      <c r="L49" s="81">
        <f t="shared" si="19"/>
        <v>16.79</v>
      </c>
      <c r="M49" s="81">
        <f t="shared" si="20"/>
        <v>36.099999999999994</v>
      </c>
      <c r="N49" s="78"/>
      <c r="O49" s="90"/>
      <c r="P49" s="90"/>
    </row>
    <row r="50" spans="1:16" ht="15">
      <c r="A50" s="222">
        <v>34.1</v>
      </c>
      <c r="B50" s="425" t="str">
        <f t="shared" si="9"/>
        <v>DIGGER INVERTER 6-ROW</v>
      </c>
      <c r="C50" s="64">
        <f>VLOOKUP(A50,Mach_Name,5)</f>
        <v>18171.562899343953</v>
      </c>
      <c r="D50" s="80">
        <f>ROUND(SUM(VLOOKUP(A50,Mach_Name,24)),2)</f>
        <v>14.08</v>
      </c>
      <c r="E50" s="80">
        <f>ROUND(SUM(VLOOKUP(A50,Mach_Name,20),VLOOKUP(A50,Mach_Name,21),VLOOKUP(A50,Mach_Name,22),VLOOKUP(A50,Mach_Name,23)),2)</f>
        <v>20.75</v>
      </c>
      <c r="F50" s="80">
        <f>D50+E50</f>
        <v>34.83</v>
      </c>
      <c r="G50" s="270">
        <f>ROUND(IF(VLOOKUP(A50,Mach_Name,9)="-","-",(1/((VLOOKUP(A50,Mach_Name,8)*VLOOKUP(A50,Mach_Name,9)*VLOOKUP(A50,Mach_Name,13))/8.25))),2)</f>
        <v>0.34</v>
      </c>
      <c r="H50" s="270">
        <f>ROUND(G50*D50,2)</f>
        <v>4.79</v>
      </c>
      <c r="I50" s="81">
        <f>ROUND(G50*E50,2)</f>
        <v>7.06</v>
      </c>
      <c r="J50" s="81">
        <f>H50+I50</f>
        <v>11.85</v>
      </c>
      <c r="K50" s="81">
        <f t="shared" si="18"/>
        <v>11.97</v>
      </c>
      <c r="L50" s="81">
        <f t="shared" si="19"/>
        <v>11.55</v>
      </c>
      <c r="M50" s="81">
        <f>K50+L50</f>
        <v>23.520000000000003</v>
      </c>
      <c r="N50" s="78"/>
      <c r="O50" s="90"/>
      <c r="P50" s="90"/>
    </row>
    <row r="51" spans="1:16" ht="15">
      <c r="A51" s="222">
        <v>35</v>
      </c>
      <c r="B51" s="425" t="str">
        <f t="shared" si="9"/>
        <v>DISK W/ SPRAYER 16'</v>
      </c>
      <c r="C51" s="64">
        <f t="shared" si="10"/>
        <v>14886.86991721113</v>
      </c>
      <c r="D51" s="80">
        <f t="shared" si="11"/>
        <v>2.49</v>
      </c>
      <c r="E51" s="80">
        <f t="shared" si="12"/>
        <v>12.86</v>
      </c>
      <c r="F51" s="80">
        <f t="shared" si="13"/>
        <v>15.35</v>
      </c>
      <c r="G51" s="270">
        <f t="shared" si="14"/>
        <v>0.15</v>
      </c>
      <c r="H51" s="270">
        <f t="shared" si="15"/>
        <v>0.37</v>
      </c>
      <c r="I51" s="81">
        <f t="shared" si="16"/>
        <v>1.93</v>
      </c>
      <c r="J51" s="81">
        <f t="shared" si="17"/>
        <v>2.3</v>
      </c>
      <c r="K51" s="81">
        <f t="shared" si="18"/>
        <v>2.65</v>
      </c>
      <c r="L51" s="81">
        <f t="shared" si="19"/>
        <v>3.38</v>
      </c>
      <c r="M51" s="81">
        <f t="shared" si="20"/>
        <v>6.029999999999999</v>
      </c>
      <c r="N51" s="78"/>
      <c r="O51" s="90"/>
      <c r="P51" s="90"/>
    </row>
    <row r="52" spans="1:16" ht="15">
      <c r="A52" s="222">
        <v>36</v>
      </c>
      <c r="B52" s="425" t="str">
        <f t="shared" si="9"/>
        <v>DISK W/ SPRAYER 21'</v>
      </c>
      <c r="C52" s="64">
        <f t="shared" si="10"/>
        <v>18293.849522294702</v>
      </c>
      <c r="D52" s="80">
        <f t="shared" si="11"/>
        <v>3.06</v>
      </c>
      <c r="E52" s="80">
        <f t="shared" si="12"/>
        <v>15.8</v>
      </c>
      <c r="F52" s="80">
        <f t="shared" si="13"/>
        <v>18.86</v>
      </c>
      <c r="G52" s="270">
        <f t="shared" si="14"/>
        <v>0.12</v>
      </c>
      <c r="H52" s="270">
        <f t="shared" si="15"/>
        <v>0.37</v>
      </c>
      <c r="I52" s="81">
        <f t="shared" si="16"/>
        <v>1.9</v>
      </c>
      <c r="J52" s="81">
        <f t="shared" si="17"/>
        <v>2.27</v>
      </c>
      <c r="K52" s="81">
        <f t="shared" si="18"/>
        <v>2.54</v>
      </c>
      <c r="L52" s="81">
        <f t="shared" si="19"/>
        <v>3.26</v>
      </c>
      <c r="M52" s="81">
        <f t="shared" si="20"/>
        <v>5.8</v>
      </c>
      <c r="N52" s="78"/>
      <c r="O52" s="90"/>
      <c r="P52" s="90"/>
    </row>
    <row r="53" spans="1:16" ht="15">
      <c r="A53" s="222">
        <v>37</v>
      </c>
      <c r="B53" s="425" t="str">
        <f t="shared" si="9"/>
        <v>FERTILIZER SPREADER</v>
      </c>
      <c r="C53" s="64">
        <f t="shared" si="10"/>
        <v>12424.837835570961</v>
      </c>
      <c r="D53" s="80">
        <f t="shared" si="11"/>
        <v>7.14</v>
      </c>
      <c r="E53" s="80">
        <f t="shared" si="12"/>
        <v>28.85</v>
      </c>
      <c r="F53" s="80">
        <f t="shared" si="13"/>
        <v>35.99</v>
      </c>
      <c r="G53" s="270">
        <f t="shared" si="14"/>
        <v>0.12</v>
      </c>
      <c r="H53" s="270">
        <f t="shared" si="15"/>
        <v>0.86</v>
      </c>
      <c r="I53" s="81">
        <f t="shared" si="16"/>
        <v>3.46</v>
      </c>
      <c r="J53" s="81">
        <f t="shared" si="17"/>
        <v>4.32</v>
      </c>
      <c r="K53" s="81">
        <f t="shared" si="18"/>
        <v>1.73</v>
      </c>
      <c r="L53" s="81">
        <f t="shared" si="19"/>
        <v>4.03</v>
      </c>
      <c r="M53" s="81">
        <f t="shared" si="20"/>
        <v>5.76</v>
      </c>
      <c r="N53" s="78"/>
      <c r="O53" s="90"/>
      <c r="P53" s="90"/>
    </row>
    <row r="54" spans="1:16" ht="15">
      <c r="A54" s="222">
        <v>38</v>
      </c>
      <c r="B54" s="425" t="str">
        <f t="shared" si="9"/>
        <v>FUMIGATION UNIT</v>
      </c>
      <c r="C54" s="64">
        <f t="shared" si="10"/>
        <v>1781.408916674664</v>
      </c>
      <c r="D54" s="80">
        <f t="shared" si="11"/>
        <v>1.22</v>
      </c>
      <c r="E54" s="80">
        <f t="shared" si="12"/>
        <v>4.67</v>
      </c>
      <c r="F54" s="80">
        <f t="shared" si="13"/>
        <v>5.89</v>
      </c>
      <c r="G54" s="270">
        <f t="shared" si="14"/>
        <v>0.43</v>
      </c>
      <c r="H54" s="270">
        <f t="shared" si="15"/>
        <v>0.52</v>
      </c>
      <c r="I54" s="81">
        <f t="shared" si="16"/>
        <v>2.01</v>
      </c>
      <c r="J54" s="81">
        <f t="shared" si="17"/>
        <v>2.53</v>
      </c>
      <c r="K54" s="81">
        <f t="shared" si="18"/>
        <v>3.67</v>
      </c>
      <c r="L54" s="81">
        <f t="shared" si="19"/>
        <v>4.06</v>
      </c>
      <c r="M54" s="81">
        <f t="shared" si="20"/>
        <v>7.7299999999999995</v>
      </c>
      <c r="N54" s="78"/>
      <c r="O54" s="90"/>
      <c r="P54" s="90"/>
    </row>
    <row r="55" spans="1:16" ht="15">
      <c r="A55" s="222">
        <v>39</v>
      </c>
      <c r="B55" s="425" t="str">
        <f t="shared" si="9"/>
        <v>GRAIN DRILL 16'</v>
      </c>
      <c r="C55" s="64">
        <f t="shared" si="10"/>
        <v>12487.108469408846</v>
      </c>
      <c r="D55" s="80">
        <f t="shared" si="11"/>
        <v>6.62</v>
      </c>
      <c r="E55" s="80">
        <f t="shared" si="12"/>
        <v>16.47</v>
      </c>
      <c r="F55" s="80">
        <f t="shared" si="13"/>
        <v>23.09</v>
      </c>
      <c r="G55" s="270">
        <f t="shared" si="14"/>
        <v>0.13</v>
      </c>
      <c r="H55" s="270">
        <f t="shared" si="15"/>
        <v>0.86</v>
      </c>
      <c r="I55" s="81">
        <f t="shared" si="16"/>
        <v>2.14</v>
      </c>
      <c r="J55" s="81">
        <f t="shared" si="17"/>
        <v>3</v>
      </c>
      <c r="K55" s="81">
        <f t="shared" si="18"/>
        <v>2.84</v>
      </c>
      <c r="L55" s="81">
        <f t="shared" si="19"/>
        <v>3.4</v>
      </c>
      <c r="M55" s="81">
        <f t="shared" si="20"/>
        <v>6.24</v>
      </c>
      <c r="N55" s="78"/>
      <c r="O55" s="90"/>
      <c r="P55" s="90"/>
    </row>
    <row r="56" spans="1:16" ht="15">
      <c r="A56" s="222">
        <v>40</v>
      </c>
      <c r="B56" s="425" t="str">
        <f t="shared" si="9"/>
        <v>GRAIN DRILL 8'</v>
      </c>
      <c r="C56" s="64">
        <f t="shared" si="10"/>
        <v>6917.094134427886</v>
      </c>
      <c r="D56" s="80">
        <f t="shared" si="11"/>
        <v>3.67</v>
      </c>
      <c r="E56" s="80">
        <f t="shared" si="12"/>
        <v>9.12</v>
      </c>
      <c r="F56" s="80">
        <f t="shared" si="13"/>
        <v>12.79</v>
      </c>
      <c r="G56" s="270">
        <f t="shared" si="14"/>
        <v>0.29</v>
      </c>
      <c r="H56" s="270">
        <f t="shared" si="15"/>
        <v>1.06</v>
      </c>
      <c r="I56" s="81">
        <f t="shared" si="16"/>
        <v>2.64</v>
      </c>
      <c r="J56" s="81">
        <f t="shared" si="17"/>
        <v>3.7</v>
      </c>
      <c r="K56" s="81">
        <f t="shared" si="18"/>
        <v>4.09</v>
      </c>
      <c r="L56" s="81">
        <f t="shared" si="19"/>
        <v>4.47</v>
      </c>
      <c r="M56" s="81">
        <f t="shared" si="20"/>
        <v>8.559999999999999</v>
      </c>
      <c r="N56" s="78"/>
      <c r="O56" s="90"/>
      <c r="P56" s="90"/>
    </row>
    <row r="57" spans="1:16" ht="15">
      <c r="A57" s="222">
        <v>41</v>
      </c>
      <c r="B57" s="425" t="str">
        <f t="shared" si="9"/>
        <v>GRAIN DRILL 13'  W/ CULTIPACKER</v>
      </c>
      <c r="C57" s="64">
        <f t="shared" si="10"/>
        <v>10169.568629926474</v>
      </c>
      <c r="D57" s="80">
        <f t="shared" si="11"/>
        <v>5.4</v>
      </c>
      <c r="E57" s="80">
        <f t="shared" si="12"/>
        <v>13.41</v>
      </c>
      <c r="F57" s="80">
        <f t="shared" si="13"/>
        <v>18.810000000000002</v>
      </c>
      <c r="G57" s="270">
        <f t="shared" si="14"/>
        <v>0.16</v>
      </c>
      <c r="H57" s="270">
        <f t="shared" si="15"/>
        <v>0.86</v>
      </c>
      <c r="I57" s="81">
        <f t="shared" si="16"/>
        <v>2.15</v>
      </c>
      <c r="J57" s="81">
        <f t="shared" si="17"/>
        <v>3.01</v>
      </c>
      <c r="K57" s="81">
        <f t="shared" si="18"/>
        <v>3.29</v>
      </c>
      <c r="L57" s="81">
        <f t="shared" si="19"/>
        <v>3.7</v>
      </c>
      <c r="M57" s="81">
        <f t="shared" si="20"/>
        <v>6.99</v>
      </c>
      <c r="N57" s="78"/>
      <c r="O57" s="90"/>
      <c r="P57" s="90"/>
    </row>
    <row r="58" spans="1:16" ht="15">
      <c r="A58" s="222">
        <v>42</v>
      </c>
      <c r="B58" s="425" t="str">
        <f t="shared" si="9"/>
        <v>GRAIN DRILL 13'  W/ FERTILIZER</v>
      </c>
      <c r="C58" s="64">
        <f t="shared" si="10"/>
        <v>10038.208550719102</v>
      </c>
      <c r="D58" s="80">
        <f t="shared" si="11"/>
        <v>5.33</v>
      </c>
      <c r="E58" s="80">
        <f t="shared" si="12"/>
        <v>13.24</v>
      </c>
      <c r="F58" s="80">
        <f t="shared" si="13"/>
        <v>18.57</v>
      </c>
      <c r="G58" s="270">
        <f t="shared" si="14"/>
        <v>0.16</v>
      </c>
      <c r="H58" s="270">
        <f t="shared" si="15"/>
        <v>0.85</v>
      </c>
      <c r="I58" s="81">
        <f t="shared" si="16"/>
        <v>2.12</v>
      </c>
      <c r="J58" s="81">
        <f t="shared" si="17"/>
        <v>2.97</v>
      </c>
      <c r="K58" s="81">
        <f t="shared" si="18"/>
        <v>3.76</v>
      </c>
      <c r="L58" s="81">
        <f t="shared" si="19"/>
        <v>3.94</v>
      </c>
      <c r="M58" s="81">
        <f t="shared" si="20"/>
        <v>7.699999999999999</v>
      </c>
      <c r="N58" s="78"/>
      <c r="O58" s="90"/>
      <c r="P58" s="90"/>
    </row>
    <row r="59" spans="1:16" ht="15">
      <c r="A59" s="222">
        <v>43</v>
      </c>
      <c r="B59" s="425" t="str">
        <f t="shared" si="9"/>
        <v>GRANULAR APPLICATOR</v>
      </c>
      <c r="C59" s="64">
        <f t="shared" si="10"/>
        <v>4119.587929981165</v>
      </c>
      <c r="D59" s="80">
        <f t="shared" si="11"/>
        <v>0.88</v>
      </c>
      <c r="E59" s="80">
        <f t="shared" si="12"/>
        <v>4.75</v>
      </c>
      <c r="F59" s="80">
        <f t="shared" si="13"/>
        <v>5.63</v>
      </c>
      <c r="G59" s="270">
        <f t="shared" si="14"/>
        <v>0.56</v>
      </c>
      <c r="H59" s="270">
        <f t="shared" si="15"/>
        <v>0.49</v>
      </c>
      <c r="I59" s="81">
        <f t="shared" si="16"/>
        <v>2.66</v>
      </c>
      <c r="J59" s="81">
        <f t="shared" si="17"/>
        <v>3.1500000000000004</v>
      </c>
      <c r="K59" s="81">
        <f aca="true" t="shared" si="21" ref="K59:K69">ROUND(IF(VLOOKUP(A59,Mach_Name,7)="-",VLOOKUP(A59,Mach_Cost,8),(VLOOKUP(VLOOKUP(A59,Mach_Name,7),Mach_Cost,4)+VLOOKUP(A59,Mach_Cost,4))*VLOOKUP(A59,Mach_Cost,7)),2)</f>
        <v>4.59</v>
      </c>
      <c r="L59" s="81">
        <f aca="true" t="shared" si="22" ref="L59:L69">ROUND(IF(VLOOKUP(A59,Mach_Name,7)="-",VLOOKUP(A59,Mach_Cost,9),(VLOOKUP(VLOOKUP(A59,Mach_Name,7),Mach_Cost,5)+VLOOKUP(A59,Mach_Cost,5))*VLOOKUP(A59,Mach_Cost,7)),2)</f>
        <v>5.33</v>
      </c>
      <c r="M59" s="81">
        <f t="shared" si="20"/>
        <v>9.92</v>
      </c>
      <c r="N59" s="78"/>
      <c r="O59" s="90"/>
      <c r="P59" s="90"/>
    </row>
    <row r="60" spans="1:16" ht="15">
      <c r="A60" s="222">
        <v>44</v>
      </c>
      <c r="B60" s="425" t="str">
        <f t="shared" si="9"/>
        <v>HEAVY DISK 13'</v>
      </c>
      <c r="C60" s="64">
        <f t="shared" si="10"/>
        <v>12408.339205195925</v>
      </c>
      <c r="D60" s="80">
        <f t="shared" si="11"/>
        <v>2.08</v>
      </c>
      <c r="E60" s="80">
        <f t="shared" si="12"/>
        <v>10.72</v>
      </c>
      <c r="F60" s="80">
        <f t="shared" si="13"/>
        <v>12.8</v>
      </c>
      <c r="G60" s="270">
        <f t="shared" si="14"/>
        <v>0.17</v>
      </c>
      <c r="H60" s="270">
        <f t="shared" si="15"/>
        <v>0.35</v>
      </c>
      <c r="I60" s="81">
        <f t="shared" si="16"/>
        <v>1.82</v>
      </c>
      <c r="J60" s="81">
        <f t="shared" si="17"/>
        <v>2.17</v>
      </c>
      <c r="K60" s="81">
        <f t="shared" si="21"/>
        <v>3.95</v>
      </c>
      <c r="L60" s="81">
        <f t="shared" si="22"/>
        <v>4.07</v>
      </c>
      <c r="M60" s="81">
        <f t="shared" si="20"/>
        <v>8.02</v>
      </c>
      <c r="N60" s="78"/>
      <c r="O60" s="90"/>
      <c r="P60" s="90"/>
    </row>
    <row r="61" spans="1:16" ht="15">
      <c r="A61" s="222">
        <v>45</v>
      </c>
      <c r="B61" s="425" t="str">
        <f t="shared" si="9"/>
        <v>HEAVY DISK 14'</v>
      </c>
      <c r="C61" s="64">
        <f t="shared" si="10"/>
        <v>13869.395326008234</v>
      </c>
      <c r="D61" s="80">
        <f t="shared" si="11"/>
        <v>2.32</v>
      </c>
      <c r="E61" s="80">
        <f t="shared" si="12"/>
        <v>11.98</v>
      </c>
      <c r="F61" s="80">
        <f t="shared" si="13"/>
        <v>14.3</v>
      </c>
      <c r="G61" s="270">
        <f t="shared" si="14"/>
        <v>0.15</v>
      </c>
      <c r="H61" s="270">
        <f t="shared" si="15"/>
        <v>0.35</v>
      </c>
      <c r="I61" s="81">
        <f t="shared" si="16"/>
        <v>1.8</v>
      </c>
      <c r="J61" s="81">
        <f t="shared" si="17"/>
        <v>2.15</v>
      </c>
      <c r="K61" s="81">
        <f t="shared" si="21"/>
        <v>3.52</v>
      </c>
      <c r="L61" s="81">
        <f t="shared" si="22"/>
        <v>3.78</v>
      </c>
      <c r="M61" s="81">
        <f t="shared" si="20"/>
        <v>7.3</v>
      </c>
      <c r="N61" s="78"/>
      <c r="O61" s="90"/>
      <c r="P61" s="90"/>
    </row>
    <row r="62" spans="1:16" ht="15">
      <c r="A62" s="222">
        <v>46</v>
      </c>
      <c r="B62" s="425" t="str">
        <f t="shared" si="9"/>
        <v>HEAVY DISK 16'</v>
      </c>
      <c r="C62" s="64">
        <f t="shared" si="10"/>
        <v>16876.326329649964</v>
      </c>
      <c r="D62" s="80">
        <f t="shared" si="11"/>
        <v>2.82</v>
      </c>
      <c r="E62" s="80">
        <f t="shared" si="12"/>
        <v>14.58</v>
      </c>
      <c r="F62" s="80">
        <f t="shared" si="13"/>
        <v>17.4</v>
      </c>
      <c r="G62" s="270">
        <f t="shared" si="14"/>
        <v>0.12</v>
      </c>
      <c r="H62" s="270">
        <f t="shared" si="15"/>
        <v>0.34</v>
      </c>
      <c r="I62" s="81">
        <f t="shared" si="16"/>
        <v>1.75</v>
      </c>
      <c r="J62" s="81">
        <f t="shared" si="17"/>
        <v>2.09</v>
      </c>
      <c r="K62" s="81">
        <f t="shared" si="21"/>
        <v>3.28</v>
      </c>
      <c r="L62" s="81">
        <f t="shared" si="22"/>
        <v>3.69</v>
      </c>
      <c r="M62" s="81">
        <f t="shared" si="20"/>
        <v>6.97</v>
      </c>
      <c r="N62" s="78"/>
      <c r="O62" s="90"/>
      <c r="P62" s="90"/>
    </row>
    <row r="63" spans="1:16" ht="15">
      <c r="A63" s="222">
        <v>46.1</v>
      </c>
      <c r="B63" s="425" t="str">
        <f>VLOOKUP(A63,Mach_Name,2)</f>
        <v>HEAVY DISK 20'</v>
      </c>
      <c r="C63" s="64">
        <f>VLOOKUP(A63,Mach_Name,5)</f>
        <v>19921.32632964997</v>
      </c>
      <c r="D63" s="80">
        <f>ROUND(SUM(VLOOKUP(A63,Mach_Name,24)),2)</f>
        <v>3.33</v>
      </c>
      <c r="E63" s="80">
        <f>ROUND(SUM(VLOOKUP(A63,Mach_Name,20),VLOOKUP(A63,Mach_Name,21),VLOOKUP(A63,Mach_Name,22),VLOOKUP(A63,Mach_Name,23)),2)</f>
        <v>17.21</v>
      </c>
      <c r="F63" s="80">
        <f>D63+E63</f>
        <v>20.54</v>
      </c>
      <c r="G63" s="270">
        <f>ROUND(IF(VLOOKUP(A63,Mach_Name,9)="-","-",(1/((VLOOKUP(A63,Mach_Name,8)*VLOOKUP(A63,Mach_Name,9)*VLOOKUP(A63,Mach_Name,13))/8.25))),2)</f>
        <v>0.1</v>
      </c>
      <c r="H63" s="270">
        <f>ROUND(G63*D63,2)</f>
        <v>0.33</v>
      </c>
      <c r="I63" s="81">
        <f>ROUND(G63*E63,2)</f>
        <v>1.72</v>
      </c>
      <c r="J63" s="81">
        <f>H63+I63</f>
        <v>2.05</v>
      </c>
      <c r="K63" s="81">
        <f>ROUND(IF(VLOOKUP(A63,Mach_Name,7)="-",VLOOKUP(A63,Mach_Cost,8),(VLOOKUP(VLOOKUP(A63,Mach_Name,7),Mach_Cost,4)+VLOOKUP(A63,Mach_Cost,4))*VLOOKUP(A63,Mach_Cost,7)),2)</f>
        <v>3.17</v>
      </c>
      <c r="L63" s="81">
        <f>ROUND(IF(VLOOKUP(A63,Mach_Name,7)="-",VLOOKUP(A63,Mach_Cost,9),(VLOOKUP(VLOOKUP(A63,Mach_Name,7),Mach_Cost,5)+VLOOKUP(A63,Mach_Cost,5))*VLOOKUP(A63,Mach_Cost,7)),2)</f>
        <v>3.75</v>
      </c>
      <c r="M63" s="81">
        <f>K63+L63</f>
        <v>6.92</v>
      </c>
      <c r="N63" s="78"/>
      <c r="O63" s="90"/>
      <c r="P63" s="90"/>
    </row>
    <row r="64" spans="1:16" ht="15">
      <c r="A64" s="222">
        <v>47</v>
      </c>
      <c r="B64" s="425" t="str">
        <f t="shared" si="9"/>
        <v>HERBICIDE APPLICATOR 12'</v>
      </c>
      <c r="C64" s="64">
        <f t="shared" si="10"/>
        <v>2294.6962316487197</v>
      </c>
      <c r="D64" s="80">
        <f t="shared" si="11"/>
        <v>1.34</v>
      </c>
      <c r="E64" s="80">
        <f t="shared" si="12"/>
        <v>3.31</v>
      </c>
      <c r="F64" s="80">
        <f t="shared" si="13"/>
        <v>4.65</v>
      </c>
      <c r="G64" s="270">
        <f t="shared" si="14"/>
        <v>0.15</v>
      </c>
      <c r="H64" s="270">
        <f t="shared" si="15"/>
        <v>0.2</v>
      </c>
      <c r="I64" s="81">
        <f t="shared" si="16"/>
        <v>0.5</v>
      </c>
      <c r="J64" s="81">
        <f t="shared" si="17"/>
        <v>0.7</v>
      </c>
      <c r="K64" s="81">
        <f t="shared" si="21"/>
        <v>1.77</v>
      </c>
      <c r="L64" s="81">
        <f t="shared" si="22"/>
        <v>1.44</v>
      </c>
      <c r="M64" s="81">
        <f t="shared" si="20"/>
        <v>3.21</v>
      </c>
      <c r="N64" s="78"/>
      <c r="O64" s="90"/>
      <c r="P64" s="90"/>
    </row>
    <row r="65" spans="1:16" ht="15">
      <c r="A65" s="222">
        <v>48</v>
      </c>
      <c r="B65" s="425" t="str">
        <f t="shared" si="9"/>
        <v>HERBICIDE APPLICATOR 16'</v>
      </c>
      <c r="C65" s="64">
        <f t="shared" si="10"/>
        <v>3291.077490127769</v>
      </c>
      <c r="D65" s="80">
        <f t="shared" si="11"/>
        <v>2.12</v>
      </c>
      <c r="E65" s="80">
        <f t="shared" si="12"/>
        <v>4.22</v>
      </c>
      <c r="F65" s="80">
        <f t="shared" si="13"/>
        <v>6.34</v>
      </c>
      <c r="G65" s="270">
        <f t="shared" si="14"/>
        <v>0.11</v>
      </c>
      <c r="H65" s="270">
        <f t="shared" si="15"/>
        <v>0.23</v>
      </c>
      <c r="I65" s="81">
        <f t="shared" si="16"/>
        <v>0.46</v>
      </c>
      <c r="J65" s="81">
        <f t="shared" si="17"/>
        <v>0.6900000000000001</v>
      </c>
      <c r="K65" s="81">
        <f t="shared" si="21"/>
        <v>1.38</v>
      </c>
      <c r="L65" s="81">
        <f t="shared" si="22"/>
        <v>1.16</v>
      </c>
      <c r="M65" s="81">
        <f t="shared" si="20"/>
        <v>2.54</v>
      </c>
      <c r="N65" s="78"/>
      <c r="O65" s="90"/>
      <c r="P65" s="90"/>
    </row>
    <row r="66" spans="1:16" ht="15">
      <c r="A66" s="222">
        <v>49</v>
      </c>
      <c r="B66" s="425" t="str">
        <f t="shared" si="9"/>
        <v>LIGHT DISKING W/ HERBICIDE 16'</v>
      </c>
      <c r="C66" s="64">
        <f t="shared" si="10"/>
        <v>10634.10543140367</v>
      </c>
      <c r="D66" s="80">
        <f t="shared" si="11"/>
        <v>5.3</v>
      </c>
      <c r="E66" s="80">
        <f t="shared" si="12"/>
        <v>11.02</v>
      </c>
      <c r="F66" s="80">
        <f t="shared" si="13"/>
        <v>16.32</v>
      </c>
      <c r="G66" s="270">
        <f t="shared" si="14"/>
        <v>0.15</v>
      </c>
      <c r="H66" s="270">
        <f t="shared" si="15"/>
        <v>0.8</v>
      </c>
      <c r="I66" s="81">
        <f t="shared" si="16"/>
        <v>1.65</v>
      </c>
      <c r="J66" s="81">
        <f t="shared" si="17"/>
        <v>2.45</v>
      </c>
      <c r="K66" s="81">
        <f t="shared" si="21"/>
        <v>3.07</v>
      </c>
      <c r="L66" s="81">
        <f t="shared" si="22"/>
        <v>3.11</v>
      </c>
      <c r="M66" s="81">
        <f t="shared" si="20"/>
        <v>6.18</v>
      </c>
      <c r="N66" s="78"/>
      <c r="O66" s="90"/>
      <c r="P66" s="90"/>
    </row>
    <row r="67" spans="1:16" ht="15">
      <c r="A67" s="222">
        <v>49.1</v>
      </c>
      <c r="B67" s="425" t="str">
        <f>VLOOKUP(A67,Mach_Name,2)</f>
        <v>LIGHT DISKING W/ HERBICIDE 20'</v>
      </c>
      <c r="C67" s="64">
        <f>VLOOKUP(A67,Mach_Name,5)</f>
        <v>12312.5</v>
      </c>
      <c r="D67" s="80">
        <f>ROUND(SUM(VLOOKUP(A67,Mach_Name,24)),2)</f>
        <v>6.13</v>
      </c>
      <c r="E67" s="80">
        <f>ROUND(SUM(VLOOKUP(A67,Mach_Name,20),VLOOKUP(A67,Mach_Name,21),VLOOKUP(A67,Mach_Name,22),VLOOKUP(A67,Mach_Name,23)),2)</f>
        <v>12.76</v>
      </c>
      <c r="F67" s="80">
        <f>D67+E67</f>
        <v>18.89</v>
      </c>
      <c r="G67" s="270">
        <f>ROUND(IF(VLOOKUP(A67,Mach_Name,9)="-","-",(1/((VLOOKUP(A67,Mach_Name,8)*VLOOKUP(A67,Mach_Name,9)*VLOOKUP(A67,Mach_Name,13))/8.25))),2)</f>
        <v>0.12</v>
      </c>
      <c r="H67" s="270">
        <f>ROUND(G67*D67,2)</f>
        <v>0.74</v>
      </c>
      <c r="I67" s="81">
        <f>ROUND(G67*E67,2)</f>
        <v>1.53</v>
      </c>
      <c r="J67" s="81">
        <f>H67+I67</f>
        <v>2.27</v>
      </c>
      <c r="K67" s="81">
        <f>ROUND(IF(VLOOKUP(A67,Mach_Name,7)="-",VLOOKUP(A67,Mach_Cost,8),(VLOOKUP(VLOOKUP(A67,Mach_Name,7),Mach_Cost,4)+VLOOKUP(A67,Mach_Cost,4))*VLOOKUP(A67,Mach_Cost,7)),2)</f>
        <v>2.91</v>
      </c>
      <c r="L67" s="81">
        <f>ROUND(IF(VLOOKUP(A67,Mach_Name,7)="-",VLOOKUP(A67,Mach_Cost,9),(VLOOKUP(VLOOKUP(A67,Mach_Name,7),Mach_Cost,5)+VLOOKUP(A67,Mach_Cost,5))*VLOOKUP(A67,Mach_Cost,7)),2)</f>
        <v>2.9</v>
      </c>
      <c r="M67" s="81">
        <f>K67+L67</f>
        <v>5.8100000000000005</v>
      </c>
      <c r="N67" s="78"/>
      <c r="O67" s="90"/>
      <c r="P67" s="90"/>
    </row>
    <row r="68" spans="1:16" ht="15">
      <c r="A68" s="222">
        <v>50</v>
      </c>
      <c r="B68" s="425" t="str">
        <f aca="true" t="shared" si="23" ref="B68:B103">VLOOKUP(A68,Mach_Name,2)</f>
        <v>LISTER</v>
      </c>
      <c r="C68" s="64">
        <f aca="true" t="shared" si="24" ref="C68:C103">VLOOKUP(A68,Mach_Name,5)</f>
        <v>1606.287362154104</v>
      </c>
      <c r="D68" s="80">
        <f aca="true" t="shared" si="25" ref="D68:D103">ROUND(SUM(VLOOKUP(A68,Mach_Name,24)),2)</f>
        <v>0.42</v>
      </c>
      <c r="E68" s="80">
        <f aca="true" t="shared" si="26" ref="E68:E103">ROUND(SUM(VLOOKUP(A68,Mach_Name,20),VLOOKUP(A68,Mach_Name,21),VLOOKUP(A68,Mach_Name,22),VLOOKUP(A68,Mach_Name,23)),2)</f>
        <v>3.7</v>
      </c>
      <c r="F68" s="80">
        <f t="shared" si="13"/>
        <v>4.12</v>
      </c>
      <c r="G68" s="270">
        <f aca="true" t="shared" si="27" ref="G68:G103">ROUND(IF(VLOOKUP(A68,Mach_Name,9)="-","-",(1/((VLOOKUP(A68,Mach_Name,8)*VLOOKUP(A68,Mach_Name,9)*VLOOKUP(A68,Mach_Name,13))/8.25))),2)</f>
        <v>0.59</v>
      </c>
      <c r="H68" s="270">
        <f t="shared" si="15"/>
        <v>0.25</v>
      </c>
      <c r="I68" s="81">
        <f t="shared" si="16"/>
        <v>2.18</v>
      </c>
      <c r="J68" s="81">
        <f t="shared" si="17"/>
        <v>2.43</v>
      </c>
      <c r="K68" s="81">
        <f t="shared" si="21"/>
        <v>6.4</v>
      </c>
      <c r="L68" s="81">
        <f t="shared" si="22"/>
        <v>5.89</v>
      </c>
      <c r="M68" s="81">
        <f t="shared" si="20"/>
        <v>12.29</v>
      </c>
      <c r="N68" s="78"/>
      <c r="O68" s="90"/>
      <c r="P68" s="90"/>
    </row>
    <row r="69" spans="1:16" ht="15">
      <c r="A69" s="222">
        <v>51</v>
      </c>
      <c r="B69" s="425" t="str">
        <f t="shared" si="23"/>
        <v>MOWER-CONDITIONER</v>
      </c>
      <c r="C69" s="64">
        <f t="shared" si="24"/>
        <v>18237.468440278746</v>
      </c>
      <c r="D69" s="80">
        <f t="shared" si="25"/>
        <v>7.41</v>
      </c>
      <c r="E69" s="80">
        <f t="shared" si="26"/>
        <v>21.18</v>
      </c>
      <c r="F69" s="80">
        <f t="shared" si="13"/>
        <v>28.59</v>
      </c>
      <c r="G69" s="270">
        <f t="shared" si="27"/>
        <v>0.36</v>
      </c>
      <c r="H69" s="270">
        <f t="shared" si="15"/>
        <v>2.67</v>
      </c>
      <c r="I69" s="81">
        <f t="shared" si="16"/>
        <v>7.62</v>
      </c>
      <c r="J69" s="81">
        <f t="shared" si="17"/>
        <v>10.29</v>
      </c>
      <c r="K69" s="81">
        <f t="shared" si="21"/>
        <v>5.3</v>
      </c>
      <c r="L69" s="81">
        <f t="shared" si="22"/>
        <v>9.34</v>
      </c>
      <c r="M69" s="81">
        <f t="shared" si="20"/>
        <v>14.64</v>
      </c>
      <c r="N69" s="78"/>
      <c r="O69" s="90"/>
      <c r="P69" s="90"/>
    </row>
    <row r="70" spans="1:16" ht="15">
      <c r="A70" s="222">
        <v>52</v>
      </c>
      <c r="B70" s="425" t="str">
        <f t="shared" si="23"/>
        <v>MULCH BEDDER-LAYER</v>
      </c>
      <c r="C70" s="64">
        <f t="shared" si="24"/>
        <v>6038.67429381242</v>
      </c>
      <c r="D70" s="80">
        <f t="shared" si="25"/>
        <v>9.81</v>
      </c>
      <c r="E70" s="80">
        <f t="shared" si="26"/>
        <v>13.92</v>
      </c>
      <c r="F70" s="80">
        <f t="shared" si="13"/>
        <v>23.73</v>
      </c>
      <c r="G70" s="270">
        <f t="shared" si="27"/>
        <v>0.52</v>
      </c>
      <c r="H70" s="270">
        <f t="shared" si="15"/>
        <v>5.1</v>
      </c>
      <c r="I70" s="81">
        <f t="shared" si="16"/>
        <v>7.24</v>
      </c>
      <c r="J70" s="81">
        <f t="shared" si="17"/>
        <v>12.34</v>
      </c>
      <c r="K70" s="81">
        <f aca="true" t="shared" si="28" ref="K70:K103">ROUND(IF(VLOOKUP(A70,Mach_Name,7)="-",VLOOKUP(A70,Mach_Cost,8),(VLOOKUP(VLOOKUP(A70,Mach_Name,7),Mach_Cost,4)+VLOOKUP(A70,Mach_Cost,4))*VLOOKUP(A70,Mach_Cost,7)),2)</f>
        <v>8.9</v>
      </c>
      <c r="L70" s="81">
        <f aca="true" t="shared" si="29" ref="L70:L103">ROUND(IF(VLOOKUP(A70,Mach_Name,7)="-",VLOOKUP(A70,Mach_Cost,9),(VLOOKUP(VLOOKUP(A70,Mach_Name,7),Mach_Cost,5)+VLOOKUP(A70,Mach_Cost,5))*VLOOKUP(A70,Mach_Cost,7)),2)</f>
        <v>9.72</v>
      </c>
      <c r="M70" s="81">
        <f t="shared" si="20"/>
        <v>18.62</v>
      </c>
      <c r="N70" s="78"/>
      <c r="O70" s="90"/>
      <c r="P70" s="90"/>
    </row>
    <row r="71" spans="1:16" ht="15">
      <c r="A71" s="222">
        <v>53</v>
      </c>
      <c r="B71" s="425" t="str">
        <f t="shared" si="23"/>
        <v>MULCH LAYER</v>
      </c>
      <c r="C71" s="64">
        <f t="shared" si="24"/>
        <v>4885.287503694248</v>
      </c>
      <c r="D71" s="80">
        <f t="shared" si="25"/>
        <v>7.94</v>
      </c>
      <c r="E71" s="80">
        <f t="shared" si="26"/>
        <v>11.26</v>
      </c>
      <c r="F71" s="80">
        <f t="shared" si="13"/>
        <v>19.2</v>
      </c>
      <c r="G71" s="270">
        <f t="shared" si="27"/>
        <v>0.52</v>
      </c>
      <c r="H71" s="270">
        <f t="shared" si="15"/>
        <v>4.13</v>
      </c>
      <c r="I71" s="81">
        <f t="shared" si="16"/>
        <v>5.86</v>
      </c>
      <c r="J71" s="81">
        <f t="shared" si="17"/>
        <v>9.99</v>
      </c>
      <c r="K71" s="81">
        <f t="shared" si="28"/>
        <v>7.93</v>
      </c>
      <c r="L71" s="81">
        <f t="shared" si="29"/>
        <v>8.34</v>
      </c>
      <c r="M71" s="81">
        <f t="shared" si="20"/>
        <v>16.27</v>
      </c>
      <c r="N71" s="78"/>
      <c r="O71" s="90"/>
      <c r="P71" s="90"/>
    </row>
    <row r="72" spans="1:16" ht="15">
      <c r="A72" s="222">
        <v>54</v>
      </c>
      <c r="B72" s="425" t="str">
        <f t="shared" si="23"/>
        <v>NO-TILL DRILL 12'</v>
      </c>
      <c r="C72" s="64">
        <f t="shared" si="24"/>
        <v>15204.511901624439</v>
      </c>
      <c r="D72" s="80">
        <f t="shared" si="25"/>
        <v>11.07</v>
      </c>
      <c r="E72" s="80">
        <f t="shared" si="26"/>
        <v>15.04</v>
      </c>
      <c r="F72" s="80">
        <f t="shared" si="13"/>
        <v>26.11</v>
      </c>
      <c r="G72" s="270">
        <f t="shared" si="27"/>
        <v>0.21</v>
      </c>
      <c r="H72" s="270">
        <f t="shared" si="15"/>
        <v>2.32</v>
      </c>
      <c r="I72" s="81">
        <f t="shared" si="16"/>
        <v>3.16</v>
      </c>
      <c r="J72" s="81">
        <f t="shared" si="17"/>
        <v>5.48</v>
      </c>
      <c r="K72" s="81">
        <f t="shared" si="28"/>
        <v>5.51</v>
      </c>
      <c r="L72" s="81">
        <f t="shared" si="29"/>
        <v>5.2</v>
      </c>
      <c r="M72" s="81">
        <f t="shared" si="20"/>
        <v>10.71</v>
      </c>
      <c r="N72" s="78"/>
      <c r="O72" s="90"/>
      <c r="P72" s="90"/>
    </row>
    <row r="73" spans="1:16" ht="15">
      <c r="A73" s="222">
        <v>55</v>
      </c>
      <c r="B73" s="425" t="str">
        <f t="shared" si="23"/>
        <v>NO-TILL DRILL 16'</v>
      </c>
      <c r="C73" s="64">
        <f t="shared" si="24"/>
        <v>22486.475063779373</v>
      </c>
      <c r="D73" s="80">
        <f t="shared" si="25"/>
        <v>11.93</v>
      </c>
      <c r="E73" s="80">
        <f t="shared" si="26"/>
        <v>29.66</v>
      </c>
      <c r="F73" s="80">
        <f t="shared" si="13"/>
        <v>41.59</v>
      </c>
      <c r="G73" s="270">
        <f t="shared" si="27"/>
        <v>0.14</v>
      </c>
      <c r="H73" s="270">
        <f t="shared" si="15"/>
        <v>1.67</v>
      </c>
      <c r="I73" s="81">
        <f t="shared" si="16"/>
        <v>4.15</v>
      </c>
      <c r="J73" s="81">
        <f t="shared" si="17"/>
        <v>5.82</v>
      </c>
      <c r="K73" s="81">
        <f t="shared" si="28"/>
        <v>4.21</v>
      </c>
      <c r="L73" s="81">
        <f t="shared" si="29"/>
        <v>5.75</v>
      </c>
      <c r="M73" s="81">
        <f t="shared" si="20"/>
        <v>9.96</v>
      </c>
      <c r="N73" s="78"/>
      <c r="O73" s="90"/>
      <c r="P73" s="90"/>
    </row>
    <row r="74" spans="1:16" ht="15">
      <c r="A74" s="222">
        <v>56</v>
      </c>
      <c r="B74" s="425" t="str">
        <f t="shared" si="23"/>
        <v>NURSE TANK ON PICK-UP</v>
      </c>
      <c r="C74" s="64">
        <f t="shared" si="24"/>
        <v>2260.9474592216543</v>
      </c>
      <c r="D74" s="80">
        <f t="shared" si="25"/>
        <v>0.91</v>
      </c>
      <c r="E74" s="80">
        <f t="shared" si="26"/>
        <v>4.11</v>
      </c>
      <c r="F74" s="80">
        <f t="shared" si="13"/>
        <v>5.0200000000000005</v>
      </c>
      <c r="G74" s="270">
        <f t="shared" si="27"/>
        <v>0.17</v>
      </c>
      <c r="H74" s="270">
        <f t="shared" si="15"/>
        <v>0.15</v>
      </c>
      <c r="I74" s="81">
        <f t="shared" si="16"/>
        <v>0.7</v>
      </c>
      <c r="J74" s="81">
        <f t="shared" si="17"/>
        <v>0.85</v>
      </c>
      <c r="K74" s="81">
        <f t="shared" si="28"/>
        <v>1.4</v>
      </c>
      <c r="L74" s="81">
        <f t="shared" si="29"/>
        <v>1.51</v>
      </c>
      <c r="M74" s="81">
        <f t="shared" si="20"/>
        <v>2.91</v>
      </c>
      <c r="N74" s="78"/>
      <c r="O74" s="90"/>
      <c r="P74" s="90"/>
    </row>
    <row r="75" spans="1:16" ht="15">
      <c r="A75" s="222">
        <v>57</v>
      </c>
      <c r="B75" s="425" t="str">
        <f t="shared" si="23"/>
        <v>PEANUT COMBINE 2-ROW</v>
      </c>
      <c r="C75" s="64">
        <f t="shared" si="24"/>
        <v>31538.788101723505</v>
      </c>
      <c r="D75" s="80">
        <f t="shared" si="25"/>
        <v>9.56</v>
      </c>
      <c r="E75" s="80">
        <f t="shared" si="26"/>
        <v>36.35</v>
      </c>
      <c r="F75" s="80">
        <f t="shared" si="13"/>
        <v>45.910000000000004</v>
      </c>
      <c r="G75" s="270">
        <f t="shared" si="27"/>
        <v>1.1</v>
      </c>
      <c r="H75" s="270">
        <f t="shared" si="15"/>
        <v>10.52</v>
      </c>
      <c r="I75" s="81">
        <f t="shared" si="16"/>
        <v>39.99</v>
      </c>
      <c r="J75" s="81">
        <f t="shared" si="17"/>
        <v>50.510000000000005</v>
      </c>
      <c r="K75" s="81">
        <f t="shared" si="28"/>
        <v>27.23</v>
      </c>
      <c r="L75" s="81">
        <f t="shared" si="29"/>
        <v>50.66</v>
      </c>
      <c r="M75" s="81">
        <f t="shared" si="20"/>
        <v>77.89</v>
      </c>
      <c r="N75" s="78"/>
      <c r="O75" s="90"/>
      <c r="P75" s="90"/>
    </row>
    <row r="76" spans="1:16" ht="15">
      <c r="A76" s="222">
        <v>57.1</v>
      </c>
      <c r="B76" s="425" t="str">
        <f t="shared" si="23"/>
        <v>PEANUT COMBINE 4-ROW</v>
      </c>
      <c r="C76" s="64">
        <f>VLOOKUP(A76,Mach_Name,5)</f>
        <v>67931.48932795005</v>
      </c>
      <c r="D76" s="80">
        <f>ROUND(SUM(VLOOKUP(A76,Mach_Name,24)),2)</f>
        <v>20.59</v>
      </c>
      <c r="E76" s="80">
        <f>ROUND(SUM(VLOOKUP(A76,Mach_Name,20),VLOOKUP(A76,Mach_Name,21),VLOOKUP(A76,Mach_Name,22),VLOOKUP(A76,Mach_Name,23)),2)</f>
        <v>78.3</v>
      </c>
      <c r="F76" s="80">
        <f>D76+E76</f>
        <v>98.89</v>
      </c>
      <c r="G76" s="270">
        <f>ROUND(IF(VLOOKUP(A76,Mach_Name,9)="-","-",(1/((VLOOKUP(A76,Mach_Name,8)*VLOOKUP(A76,Mach_Name,9)*VLOOKUP(A76,Mach_Name,13))/8.25))),2)</f>
        <v>0.55</v>
      </c>
      <c r="H76" s="270">
        <f>ROUND(G76*D76,2)</f>
        <v>11.32</v>
      </c>
      <c r="I76" s="81">
        <f>ROUND(G76*E76,2)</f>
        <v>43.07</v>
      </c>
      <c r="J76" s="81">
        <f>H76+I76</f>
        <v>54.39</v>
      </c>
      <c r="K76" s="81">
        <f>ROUND(IF(VLOOKUP(A76,Mach_Name,7)="-",VLOOKUP(A76,Mach_Cost,8),(VLOOKUP(VLOOKUP(A76,Mach_Name,7),Mach_Cost,4)+VLOOKUP(A76,Mach_Cost,4))*VLOOKUP(A76,Mach_Cost,7)),2)</f>
        <v>21.3</v>
      </c>
      <c r="L76" s="81">
        <f>ROUND(IF(VLOOKUP(A76,Mach_Name,7)="-",VLOOKUP(A76,Mach_Cost,9),(VLOOKUP(VLOOKUP(A76,Mach_Name,7),Mach_Cost,5)+VLOOKUP(A76,Mach_Cost,5))*VLOOKUP(A76,Mach_Cost,7)),2)</f>
        <v>49.33</v>
      </c>
      <c r="M76" s="81">
        <f>K76+L76</f>
        <v>70.63</v>
      </c>
      <c r="N76" s="78"/>
      <c r="O76" s="90"/>
      <c r="P76" s="90"/>
    </row>
    <row r="77" spans="1:16" ht="15">
      <c r="A77" s="222">
        <v>58</v>
      </c>
      <c r="B77" s="425" t="str">
        <f t="shared" si="23"/>
        <v>PEANUT PLANTER</v>
      </c>
      <c r="C77" s="64">
        <f t="shared" si="24"/>
        <v>12734.960218221015</v>
      </c>
      <c r="D77" s="80">
        <f t="shared" si="25"/>
        <v>5.34</v>
      </c>
      <c r="E77" s="80">
        <f t="shared" si="26"/>
        <v>17.6</v>
      </c>
      <c r="F77" s="80">
        <f t="shared" si="13"/>
        <v>22.94</v>
      </c>
      <c r="G77" s="270">
        <f t="shared" si="27"/>
        <v>0.21</v>
      </c>
      <c r="H77" s="270">
        <f t="shared" si="15"/>
        <v>1.12</v>
      </c>
      <c r="I77" s="81">
        <f t="shared" si="16"/>
        <v>3.7</v>
      </c>
      <c r="J77" s="81">
        <f t="shared" si="17"/>
        <v>4.82</v>
      </c>
      <c r="K77" s="81">
        <f t="shared" si="28"/>
        <v>4.31</v>
      </c>
      <c r="L77" s="81">
        <f t="shared" si="29"/>
        <v>5.73</v>
      </c>
      <c r="M77" s="81">
        <f t="shared" si="20"/>
        <v>10.04</v>
      </c>
      <c r="N77" s="78"/>
      <c r="O77" s="90"/>
      <c r="P77" s="90"/>
    </row>
    <row r="78" spans="1:16" ht="15">
      <c r="A78" s="222">
        <v>59</v>
      </c>
      <c r="B78" s="425" t="str">
        <f t="shared" si="23"/>
        <v>PRECISION PLANTER 4-ROW</v>
      </c>
      <c r="C78" s="64">
        <f t="shared" si="24"/>
        <v>11754.719609710777</v>
      </c>
      <c r="D78" s="80">
        <f t="shared" si="25"/>
        <v>3.46</v>
      </c>
      <c r="E78" s="80">
        <f t="shared" si="26"/>
        <v>12.19</v>
      </c>
      <c r="F78" s="80">
        <f t="shared" si="13"/>
        <v>15.649999999999999</v>
      </c>
      <c r="G78" s="270">
        <f t="shared" si="27"/>
        <v>0.2</v>
      </c>
      <c r="H78" s="270">
        <f t="shared" si="15"/>
        <v>0.69</v>
      </c>
      <c r="I78" s="81">
        <f t="shared" si="16"/>
        <v>2.44</v>
      </c>
      <c r="J78" s="81">
        <f t="shared" si="17"/>
        <v>3.13</v>
      </c>
      <c r="K78" s="81">
        <f t="shared" si="28"/>
        <v>3.73</v>
      </c>
      <c r="L78" s="81">
        <f t="shared" si="29"/>
        <v>4.38</v>
      </c>
      <c r="M78" s="81">
        <f t="shared" si="20"/>
        <v>8.11</v>
      </c>
      <c r="N78" s="78"/>
      <c r="O78" s="90"/>
      <c r="P78" s="90"/>
    </row>
    <row r="79" spans="1:16" ht="15">
      <c r="A79" s="222">
        <v>60</v>
      </c>
      <c r="B79" s="425" t="str">
        <f t="shared" si="23"/>
        <v>PLANTER 1-ROW</v>
      </c>
      <c r="C79" s="64">
        <f t="shared" si="24"/>
        <v>1245.4740172451698</v>
      </c>
      <c r="D79" s="80">
        <f t="shared" si="25"/>
        <v>0.21</v>
      </c>
      <c r="E79" s="80">
        <f t="shared" si="26"/>
        <v>1.91</v>
      </c>
      <c r="F79" s="80">
        <f t="shared" si="13"/>
        <v>2.12</v>
      </c>
      <c r="G79" s="270">
        <f t="shared" si="27"/>
        <v>1.65</v>
      </c>
      <c r="H79" s="270">
        <f t="shared" si="15"/>
        <v>0.35</v>
      </c>
      <c r="I79" s="81">
        <f t="shared" si="16"/>
        <v>3.15</v>
      </c>
      <c r="J79" s="81">
        <f t="shared" si="17"/>
        <v>3.5</v>
      </c>
      <c r="K79" s="81">
        <f t="shared" si="28"/>
        <v>12.41</v>
      </c>
      <c r="L79" s="81">
        <f t="shared" si="29"/>
        <v>11.02</v>
      </c>
      <c r="M79" s="81">
        <f t="shared" si="20"/>
        <v>23.43</v>
      </c>
      <c r="N79" s="78"/>
      <c r="O79" s="90"/>
      <c r="P79" s="90"/>
    </row>
    <row r="80" spans="1:16" ht="15">
      <c r="A80" s="222">
        <v>61</v>
      </c>
      <c r="B80" s="425" t="str">
        <f t="shared" si="23"/>
        <v>PLANTER 2-ROW</v>
      </c>
      <c r="C80" s="64">
        <f t="shared" si="24"/>
        <v>2341.4985132794072</v>
      </c>
      <c r="D80" s="80">
        <f t="shared" si="25"/>
        <v>0.4</v>
      </c>
      <c r="E80" s="80">
        <f t="shared" si="26"/>
        <v>3.6</v>
      </c>
      <c r="F80" s="80">
        <f t="shared" si="13"/>
        <v>4</v>
      </c>
      <c r="G80" s="270">
        <f t="shared" si="27"/>
        <v>0.89</v>
      </c>
      <c r="H80" s="270">
        <f t="shared" si="15"/>
        <v>0.36</v>
      </c>
      <c r="I80" s="81">
        <f t="shared" si="16"/>
        <v>3.2</v>
      </c>
      <c r="J80" s="81">
        <f t="shared" si="17"/>
        <v>3.56</v>
      </c>
      <c r="K80" s="81">
        <f t="shared" si="28"/>
        <v>6.86</v>
      </c>
      <c r="L80" s="81">
        <f t="shared" si="29"/>
        <v>7.45</v>
      </c>
      <c r="M80" s="81">
        <f t="shared" si="20"/>
        <v>14.31</v>
      </c>
      <c r="N80" s="78"/>
      <c r="O80" s="90"/>
      <c r="P80" s="90"/>
    </row>
    <row r="81" spans="1:16" ht="15">
      <c r="A81" s="222">
        <v>62</v>
      </c>
      <c r="B81" s="425" t="str">
        <f t="shared" si="23"/>
        <v>PLANTER 4-ROW</v>
      </c>
      <c r="C81" s="64">
        <f t="shared" si="24"/>
        <v>11393.673437131185</v>
      </c>
      <c r="D81" s="80">
        <f t="shared" si="25"/>
        <v>3.35</v>
      </c>
      <c r="E81" s="80">
        <f t="shared" si="26"/>
        <v>11.81</v>
      </c>
      <c r="F81" s="80">
        <f t="shared" si="13"/>
        <v>15.16</v>
      </c>
      <c r="G81" s="270">
        <f t="shared" si="27"/>
        <v>0.2</v>
      </c>
      <c r="H81" s="270">
        <f t="shared" si="15"/>
        <v>0.67</v>
      </c>
      <c r="I81" s="81">
        <f t="shared" si="16"/>
        <v>2.36</v>
      </c>
      <c r="J81" s="81">
        <f t="shared" si="17"/>
        <v>3.03</v>
      </c>
      <c r="K81" s="81">
        <f t="shared" si="28"/>
        <v>3.71</v>
      </c>
      <c r="L81" s="81">
        <f t="shared" si="29"/>
        <v>4.3</v>
      </c>
      <c r="M81" s="81">
        <f t="shared" si="20"/>
        <v>8.01</v>
      </c>
      <c r="N81" s="78"/>
      <c r="O81" s="90"/>
      <c r="P81" s="90"/>
    </row>
    <row r="82" spans="1:16" ht="15">
      <c r="A82" s="222">
        <v>63</v>
      </c>
      <c r="B82" s="425" t="str">
        <f t="shared" si="23"/>
        <v>PLANTER 6-ROW</v>
      </c>
      <c r="C82" s="64">
        <f t="shared" si="24"/>
        <v>15990.60146402768</v>
      </c>
      <c r="D82" s="80">
        <f t="shared" si="25"/>
        <v>4.71</v>
      </c>
      <c r="E82" s="80">
        <f t="shared" si="26"/>
        <v>16.58</v>
      </c>
      <c r="F82" s="80">
        <f t="shared" si="13"/>
        <v>21.29</v>
      </c>
      <c r="G82" s="270">
        <f t="shared" si="27"/>
        <v>0.15</v>
      </c>
      <c r="H82" s="270">
        <f t="shared" si="15"/>
        <v>0.71</v>
      </c>
      <c r="I82" s="81">
        <f t="shared" si="16"/>
        <v>2.49</v>
      </c>
      <c r="J82" s="81">
        <f t="shared" si="17"/>
        <v>3.2</v>
      </c>
      <c r="K82" s="81">
        <f t="shared" si="28"/>
        <v>3.43</v>
      </c>
      <c r="L82" s="81">
        <f t="shared" si="29"/>
        <v>4.2</v>
      </c>
      <c r="M82" s="81">
        <f t="shared" si="20"/>
        <v>7.630000000000001</v>
      </c>
      <c r="N82" s="78"/>
      <c r="O82" s="90"/>
      <c r="P82" s="90"/>
    </row>
    <row r="83" spans="1:16" ht="15">
      <c r="A83" s="222">
        <v>64</v>
      </c>
      <c r="B83" s="425" t="str">
        <f t="shared" si="23"/>
        <v>PLANTER 8-ROW</v>
      </c>
      <c r="C83" s="64">
        <f t="shared" si="24"/>
        <v>23352.401572951614</v>
      </c>
      <c r="D83" s="80">
        <f t="shared" si="25"/>
        <v>6.88</v>
      </c>
      <c r="E83" s="80">
        <f t="shared" si="26"/>
        <v>24.21</v>
      </c>
      <c r="F83" s="80">
        <f t="shared" si="13"/>
        <v>31.09</v>
      </c>
      <c r="G83" s="270">
        <f t="shared" si="27"/>
        <v>0.09</v>
      </c>
      <c r="H83" s="270">
        <f t="shared" si="15"/>
        <v>0.62</v>
      </c>
      <c r="I83" s="81">
        <f t="shared" si="16"/>
        <v>2.18</v>
      </c>
      <c r="J83" s="81">
        <f t="shared" si="17"/>
        <v>2.8000000000000003</v>
      </c>
      <c r="K83" s="81">
        <f t="shared" si="28"/>
        <v>2.52</v>
      </c>
      <c r="L83" s="81">
        <f t="shared" si="29"/>
        <v>3.37</v>
      </c>
      <c r="M83" s="81">
        <f t="shared" si="20"/>
        <v>5.890000000000001</v>
      </c>
      <c r="N83" s="78"/>
      <c r="O83" s="90"/>
      <c r="P83" s="90"/>
    </row>
    <row r="84" spans="1:16" ht="15">
      <c r="A84" s="222">
        <v>65</v>
      </c>
      <c r="B84" s="425" t="str">
        <f t="shared" si="23"/>
        <v>PLANTER NO-TILL 4-ROW</v>
      </c>
      <c r="C84" s="64">
        <f t="shared" si="24"/>
        <v>14574.006501732138</v>
      </c>
      <c r="D84" s="80">
        <f t="shared" si="25"/>
        <v>7.26</v>
      </c>
      <c r="E84" s="80">
        <f t="shared" si="26"/>
        <v>15.11</v>
      </c>
      <c r="F84" s="80">
        <f t="shared" si="13"/>
        <v>22.369999999999997</v>
      </c>
      <c r="G84" s="270">
        <f t="shared" si="27"/>
        <v>0.17</v>
      </c>
      <c r="H84" s="270">
        <f t="shared" si="15"/>
        <v>1.23</v>
      </c>
      <c r="I84" s="81">
        <f t="shared" si="16"/>
        <v>2.57</v>
      </c>
      <c r="J84" s="81">
        <f t="shared" si="17"/>
        <v>3.8</v>
      </c>
      <c r="K84" s="81">
        <f t="shared" si="28"/>
        <v>4.83</v>
      </c>
      <c r="L84" s="81">
        <f t="shared" si="29"/>
        <v>4.82</v>
      </c>
      <c r="M84" s="81">
        <f t="shared" si="20"/>
        <v>9.65</v>
      </c>
      <c r="N84" s="78"/>
      <c r="O84" s="90"/>
      <c r="P84" s="90"/>
    </row>
    <row r="85" spans="1:16" ht="15">
      <c r="A85" s="222">
        <v>66</v>
      </c>
      <c r="B85" s="425" t="str">
        <f t="shared" si="23"/>
        <v>PLANTER NO-TILL 6-ROW</v>
      </c>
      <c r="C85" s="64">
        <f t="shared" si="24"/>
        <v>17976.253137748587</v>
      </c>
      <c r="D85" s="80">
        <f t="shared" si="25"/>
        <v>8.95</v>
      </c>
      <c r="E85" s="80">
        <f t="shared" si="26"/>
        <v>18.64</v>
      </c>
      <c r="F85" s="80">
        <f t="shared" si="13"/>
        <v>27.59</v>
      </c>
      <c r="G85" s="270">
        <f t="shared" si="27"/>
        <v>0.14</v>
      </c>
      <c r="H85" s="270">
        <f t="shared" si="15"/>
        <v>1.25</v>
      </c>
      <c r="I85" s="81">
        <f t="shared" si="16"/>
        <v>2.61</v>
      </c>
      <c r="J85" s="81">
        <f t="shared" si="17"/>
        <v>3.86</v>
      </c>
      <c r="K85" s="81">
        <f t="shared" si="28"/>
        <v>4.69</v>
      </c>
      <c r="L85" s="81">
        <f t="shared" si="29"/>
        <v>4.88</v>
      </c>
      <c r="M85" s="81">
        <f t="shared" si="20"/>
        <v>9.57</v>
      </c>
      <c r="N85" s="78"/>
      <c r="O85" s="90"/>
      <c r="P85" s="90"/>
    </row>
    <row r="86" spans="1:16" ht="15">
      <c r="A86" s="222">
        <v>67</v>
      </c>
      <c r="B86" s="425" t="str">
        <f t="shared" si="23"/>
        <v>PLANTER NO-TILL 8-ROW</v>
      </c>
      <c r="C86" s="64">
        <f t="shared" si="24"/>
        <v>28484.18359282796</v>
      </c>
      <c r="D86" s="80">
        <f t="shared" si="25"/>
        <v>14.18</v>
      </c>
      <c r="E86" s="80">
        <f t="shared" si="26"/>
        <v>29.53</v>
      </c>
      <c r="F86" s="80">
        <f t="shared" si="13"/>
        <v>43.71</v>
      </c>
      <c r="G86" s="270">
        <f t="shared" si="27"/>
        <v>0.08</v>
      </c>
      <c r="H86" s="270">
        <f t="shared" si="15"/>
        <v>1.13</v>
      </c>
      <c r="I86" s="81">
        <f t="shared" si="16"/>
        <v>2.36</v>
      </c>
      <c r="J86" s="81">
        <f t="shared" si="17"/>
        <v>3.4899999999999998</v>
      </c>
      <c r="K86" s="81">
        <f t="shared" si="28"/>
        <v>3.41</v>
      </c>
      <c r="L86" s="81">
        <f t="shared" si="29"/>
        <v>3.99</v>
      </c>
      <c r="M86" s="81">
        <f t="shared" si="20"/>
        <v>7.4</v>
      </c>
      <c r="N86" s="78"/>
      <c r="O86" s="90"/>
      <c r="P86" s="90"/>
    </row>
    <row r="87" spans="1:16" ht="15">
      <c r="A87" s="222">
        <v>68</v>
      </c>
      <c r="B87" s="425" t="str">
        <f t="shared" si="23"/>
        <v>PLANTER NO-TILL W/ HERBICIDE 4-ROW</v>
      </c>
      <c r="C87" s="64">
        <f t="shared" si="24"/>
        <v>15741.518928676127</v>
      </c>
      <c r="D87" s="80">
        <f t="shared" si="25"/>
        <v>7.84</v>
      </c>
      <c r="E87" s="80">
        <f t="shared" si="26"/>
        <v>16.32</v>
      </c>
      <c r="F87" s="80">
        <f t="shared" si="13"/>
        <v>24.16</v>
      </c>
      <c r="G87" s="270">
        <f t="shared" si="27"/>
        <v>0.2</v>
      </c>
      <c r="H87" s="270">
        <f t="shared" si="15"/>
        <v>1.57</v>
      </c>
      <c r="I87" s="81">
        <f t="shared" si="16"/>
        <v>3.26</v>
      </c>
      <c r="J87" s="81">
        <f t="shared" si="17"/>
        <v>4.83</v>
      </c>
      <c r="K87" s="81">
        <f t="shared" si="28"/>
        <v>5.8</v>
      </c>
      <c r="L87" s="81">
        <f t="shared" si="29"/>
        <v>5.91</v>
      </c>
      <c r="M87" s="81">
        <f t="shared" si="20"/>
        <v>11.71</v>
      </c>
      <c r="N87" s="78"/>
      <c r="O87" s="90"/>
      <c r="P87" s="90"/>
    </row>
    <row r="88" spans="1:16" ht="15">
      <c r="A88" s="222">
        <v>69</v>
      </c>
      <c r="B88" s="425" t="str">
        <f t="shared" si="23"/>
        <v>PLANTER NO-TILL W/ SPRAYER 4-ROW</v>
      </c>
      <c r="C88" s="64">
        <f t="shared" si="24"/>
        <v>15741.518928676127</v>
      </c>
      <c r="D88" s="80">
        <f t="shared" si="25"/>
        <v>7.84</v>
      </c>
      <c r="E88" s="80">
        <f t="shared" si="26"/>
        <v>16.32</v>
      </c>
      <c r="F88" s="80">
        <f t="shared" si="13"/>
        <v>24.16</v>
      </c>
      <c r="G88" s="270">
        <f t="shared" si="27"/>
        <v>0.2</v>
      </c>
      <c r="H88" s="270">
        <f t="shared" si="15"/>
        <v>1.57</v>
      </c>
      <c r="I88" s="81">
        <f t="shared" si="16"/>
        <v>3.26</v>
      </c>
      <c r="J88" s="81">
        <f t="shared" si="17"/>
        <v>4.83</v>
      </c>
      <c r="K88" s="81">
        <f t="shared" si="28"/>
        <v>5.8</v>
      </c>
      <c r="L88" s="81">
        <f t="shared" si="29"/>
        <v>5.91</v>
      </c>
      <c r="M88" s="81">
        <f t="shared" si="20"/>
        <v>11.71</v>
      </c>
      <c r="N88" s="78"/>
      <c r="O88" s="90"/>
      <c r="P88" s="90"/>
    </row>
    <row r="89" spans="1:16" ht="15">
      <c r="A89" s="222">
        <v>70</v>
      </c>
      <c r="B89" s="425" t="str">
        <f t="shared" si="23"/>
        <v>PLANTER W/ FERTILIZER 6-ROW</v>
      </c>
      <c r="C89" s="64">
        <f t="shared" si="24"/>
        <v>18071.025836959536</v>
      </c>
      <c r="D89" s="80">
        <f t="shared" si="25"/>
        <v>5.32</v>
      </c>
      <c r="E89" s="80">
        <f t="shared" si="26"/>
        <v>18.73</v>
      </c>
      <c r="F89" s="80">
        <f t="shared" si="13"/>
        <v>24.05</v>
      </c>
      <c r="G89" s="270">
        <f t="shared" si="27"/>
        <v>0.17</v>
      </c>
      <c r="H89" s="270">
        <f t="shared" si="15"/>
        <v>0.9</v>
      </c>
      <c r="I89" s="81">
        <f t="shared" si="16"/>
        <v>3.18</v>
      </c>
      <c r="J89" s="81">
        <f t="shared" si="17"/>
        <v>4.08</v>
      </c>
      <c r="K89" s="81">
        <f t="shared" si="28"/>
        <v>3.99</v>
      </c>
      <c r="L89" s="81">
        <f t="shared" si="29"/>
        <v>5.12</v>
      </c>
      <c r="M89" s="81">
        <f t="shared" si="20"/>
        <v>9.11</v>
      </c>
      <c r="N89" s="78"/>
      <c r="O89" s="90"/>
      <c r="P89" s="90"/>
    </row>
    <row r="90" spans="1:16" ht="15">
      <c r="A90" s="222">
        <v>71</v>
      </c>
      <c r="B90" s="425" t="str">
        <f t="shared" si="23"/>
        <v>PLANTER W/ HERBICIDE 6-ROW</v>
      </c>
      <c r="C90" s="64">
        <f t="shared" si="24"/>
        <v>18071.025836959536</v>
      </c>
      <c r="D90" s="80">
        <f t="shared" si="25"/>
        <v>5.32</v>
      </c>
      <c r="E90" s="80">
        <f t="shared" si="26"/>
        <v>18.73</v>
      </c>
      <c r="F90" s="80">
        <f t="shared" si="13"/>
        <v>24.05</v>
      </c>
      <c r="G90" s="270">
        <f t="shared" si="27"/>
        <v>0.17</v>
      </c>
      <c r="H90" s="270">
        <f t="shared" si="15"/>
        <v>0.9</v>
      </c>
      <c r="I90" s="81">
        <f t="shared" si="16"/>
        <v>3.18</v>
      </c>
      <c r="J90" s="81">
        <f t="shared" si="17"/>
        <v>4.08</v>
      </c>
      <c r="K90" s="81">
        <f t="shared" si="28"/>
        <v>3.99</v>
      </c>
      <c r="L90" s="81">
        <f t="shared" si="29"/>
        <v>5.12</v>
      </c>
      <c r="M90" s="81">
        <f t="shared" si="20"/>
        <v>9.11</v>
      </c>
      <c r="N90" s="78"/>
      <c r="O90" s="90"/>
      <c r="P90" s="90"/>
    </row>
    <row r="91" spans="1:16" ht="15">
      <c r="A91" s="222">
        <v>72</v>
      </c>
      <c r="B91" s="425" t="str">
        <f t="shared" si="23"/>
        <v>PLANTER W/ SPRAYER 4-ROW</v>
      </c>
      <c r="C91" s="64">
        <f t="shared" si="24"/>
        <v>12568.166955426843</v>
      </c>
      <c r="D91" s="80">
        <f t="shared" si="25"/>
        <v>3.7</v>
      </c>
      <c r="E91" s="80">
        <f t="shared" si="26"/>
        <v>13.03</v>
      </c>
      <c r="F91" s="80">
        <f t="shared" si="13"/>
        <v>16.73</v>
      </c>
      <c r="G91" s="270">
        <f t="shared" si="27"/>
        <v>0.22</v>
      </c>
      <c r="H91" s="270">
        <f t="shared" si="15"/>
        <v>0.81</v>
      </c>
      <c r="I91" s="81">
        <f t="shared" si="16"/>
        <v>2.87</v>
      </c>
      <c r="J91" s="81">
        <f t="shared" si="17"/>
        <v>3.68</v>
      </c>
      <c r="K91" s="81">
        <f t="shared" si="28"/>
        <v>4.16</v>
      </c>
      <c r="L91" s="81">
        <f t="shared" si="29"/>
        <v>5</v>
      </c>
      <c r="M91" s="81">
        <f t="shared" si="20"/>
        <v>9.16</v>
      </c>
      <c r="N91" s="78"/>
      <c r="O91" s="90"/>
      <c r="P91" s="90"/>
    </row>
    <row r="92" spans="1:16" ht="15">
      <c r="A92" s="222">
        <v>73</v>
      </c>
      <c r="B92" s="425" t="str">
        <f t="shared" si="23"/>
        <v>PLANTER W/ SPRAYER 6-ROW</v>
      </c>
      <c r="C92" s="64">
        <f t="shared" si="24"/>
        <v>18071.025836959536</v>
      </c>
      <c r="D92" s="80">
        <f t="shared" si="25"/>
        <v>5.32</v>
      </c>
      <c r="E92" s="80">
        <f t="shared" si="26"/>
        <v>18.73</v>
      </c>
      <c r="F92" s="80">
        <f t="shared" si="13"/>
        <v>24.05</v>
      </c>
      <c r="G92" s="270">
        <f t="shared" si="27"/>
        <v>0.17</v>
      </c>
      <c r="H92" s="270">
        <f t="shared" si="15"/>
        <v>0.9</v>
      </c>
      <c r="I92" s="81">
        <f t="shared" si="16"/>
        <v>3.18</v>
      </c>
      <c r="J92" s="81">
        <f t="shared" si="17"/>
        <v>4.08</v>
      </c>
      <c r="K92" s="81">
        <f t="shared" si="28"/>
        <v>3.99</v>
      </c>
      <c r="L92" s="81">
        <f t="shared" si="29"/>
        <v>5.12</v>
      </c>
      <c r="M92" s="81">
        <f t="shared" si="20"/>
        <v>9.11</v>
      </c>
      <c r="N92" s="78"/>
      <c r="O92" s="90"/>
      <c r="P92" s="90"/>
    </row>
    <row r="93" spans="1:16" ht="15">
      <c r="A93" s="222">
        <v>74</v>
      </c>
      <c r="B93" s="425" t="str">
        <f t="shared" si="23"/>
        <v>POTATO DIGGER (SWEET)</v>
      </c>
      <c r="C93" s="64">
        <f t="shared" si="24"/>
        <v>12903.43923101838</v>
      </c>
      <c r="D93" s="80">
        <f t="shared" si="25"/>
        <v>1.02</v>
      </c>
      <c r="E93" s="80">
        <f t="shared" si="26"/>
        <v>16.92</v>
      </c>
      <c r="F93" s="80">
        <f t="shared" si="13"/>
        <v>17.94</v>
      </c>
      <c r="G93" s="270">
        <f t="shared" si="27"/>
        <v>0.79</v>
      </c>
      <c r="H93" s="270">
        <f t="shared" si="15"/>
        <v>0.81</v>
      </c>
      <c r="I93" s="81">
        <f t="shared" si="16"/>
        <v>13.37</v>
      </c>
      <c r="J93" s="81">
        <f t="shared" si="17"/>
        <v>14.18</v>
      </c>
      <c r="K93" s="81">
        <f t="shared" si="28"/>
        <v>9.05</v>
      </c>
      <c r="L93" s="81">
        <f t="shared" si="29"/>
        <v>18.33</v>
      </c>
      <c r="M93" s="81">
        <f t="shared" si="20"/>
        <v>27.38</v>
      </c>
      <c r="N93" s="78"/>
      <c r="O93" s="90"/>
      <c r="P93" s="90"/>
    </row>
    <row r="94" spans="1:16" ht="15">
      <c r="A94" s="222">
        <v>75</v>
      </c>
      <c r="B94" s="425" t="str">
        <f t="shared" si="23"/>
        <v>POTATO HARVESTER</v>
      </c>
      <c r="C94" s="64">
        <f t="shared" si="24"/>
        <v>59895.19485060787</v>
      </c>
      <c r="D94" s="80">
        <f t="shared" si="25"/>
        <v>14.97</v>
      </c>
      <c r="E94" s="80">
        <f t="shared" si="26"/>
        <v>27.24</v>
      </c>
      <c r="F94" s="80">
        <f t="shared" si="13"/>
        <v>42.21</v>
      </c>
      <c r="G94" s="270">
        <f t="shared" si="27"/>
        <v>0.79</v>
      </c>
      <c r="H94" s="270">
        <f t="shared" si="15"/>
        <v>11.83</v>
      </c>
      <c r="I94" s="81">
        <f t="shared" si="16"/>
        <v>21.52</v>
      </c>
      <c r="J94" s="81">
        <f t="shared" si="17"/>
        <v>33.35</v>
      </c>
      <c r="K94" s="81">
        <f t="shared" si="28"/>
        <v>26.16</v>
      </c>
      <c r="L94" s="81">
        <f t="shared" si="29"/>
        <v>30.52</v>
      </c>
      <c r="M94" s="81">
        <f t="shared" si="20"/>
        <v>56.68</v>
      </c>
      <c r="N94" s="78"/>
      <c r="O94" s="90"/>
      <c r="P94" s="90"/>
    </row>
    <row r="95" spans="1:16" ht="15">
      <c r="A95" s="222">
        <v>76</v>
      </c>
      <c r="B95" s="425" t="str">
        <f t="shared" si="23"/>
        <v>POTATO PLANTER</v>
      </c>
      <c r="C95" s="64">
        <f t="shared" si="24"/>
        <v>24001.31484818684</v>
      </c>
      <c r="D95" s="80">
        <f t="shared" si="25"/>
        <v>15.31</v>
      </c>
      <c r="E95" s="80">
        <f t="shared" si="26"/>
        <v>14.55</v>
      </c>
      <c r="F95" s="80">
        <f t="shared" si="13"/>
        <v>29.86</v>
      </c>
      <c r="G95" s="270">
        <f t="shared" si="27"/>
        <v>0.27</v>
      </c>
      <c r="H95" s="270">
        <f t="shared" si="15"/>
        <v>4.13</v>
      </c>
      <c r="I95" s="81">
        <f t="shared" si="16"/>
        <v>3.93</v>
      </c>
      <c r="J95" s="81">
        <f t="shared" si="17"/>
        <v>8.06</v>
      </c>
      <c r="K95" s="81">
        <f t="shared" si="28"/>
        <v>8.24</v>
      </c>
      <c r="L95" s="81">
        <f t="shared" si="29"/>
        <v>6.55</v>
      </c>
      <c r="M95" s="81">
        <f t="shared" si="20"/>
        <v>14.79</v>
      </c>
      <c r="N95" s="78"/>
      <c r="O95" s="90"/>
      <c r="P95" s="90"/>
    </row>
    <row r="96" spans="1:16" ht="15">
      <c r="A96" s="222">
        <v>77</v>
      </c>
      <c r="B96" s="425" t="str">
        <f t="shared" si="23"/>
        <v>POTATO PLANTER (SWEET)</v>
      </c>
      <c r="C96" s="64">
        <f t="shared" si="24"/>
        <v>7870.808074555109</v>
      </c>
      <c r="D96" s="80">
        <f t="shared" si="25"/>
        <v>1.53</v>
      </c>
      <c r="E96" s="80">
        <f t="shared" si="26"/>
        <v>13.76</v>
      </c>
      <c r="F96" s="80">
        <f t="shared" si="13"/>
        <v>15.29</v>
      </c>
      <c r="G96" s="270">
        <f t="shared" si="27"/>
        <v>0.39</v>
      </c>
      <c r="H96" s="270">
        <f t="shared" si="15"/>
        <v>0.6</v>
      </c>
      <c r="I96" s="81">
        <f t="shared" si="16"/>
        <v>5.37</v>
      </c>
      <c r="J96" s="81">
        <f t="shared" si="17"/>
        <v>5.97</v>
      </c>
      <c r="K96" s="81">
        <f t="shared" si="28"/>
        <v>4.66</v>
      </c>
      <c r="L96" s="81">
        <f t="shared" si="29"/>
        <v>7.82</v>
      </c>
      <c r="M96" s="81">
        <f t="shared" si="20"/>
        <v>12.48</v>
      </c>
      <c r="N96" s="78"/>
      <c r="O96" s="90"/>
      <c r="P96" s="90"/>
    </row>
    <row r="97" spans="1:16" ht="15">
      <c r="A97" s="222">
        <v>78</v>
      </c>
      <c r="B97" s="425" t="str">
        <f t="shared" si="23"/>
        <v>BULK BARN</v>
      </c>
      <c r="C97" s="64">
        <f t="shared" si="24"/>
        <v>20531.492598962235</v>
      </c>
      <c r="D97" s="80">
        <f t="shared" si="25"/>
        <v>12.8</v>
      </c>
      <c r="E97" s="80">
        <f t="shared" si="26"/>
        <v>17.79</v>
      </c>
      <c r="F97" s="80">
        <f t="shared" si="13"/>
        <v>30.59</v>
      </c>
      <c r="G97" s="270">
        <f t="shared" si="27"/>
        <v>0.69</v>
      </c>
      <c r="H97" s="270">
        <f t="shared" si="15"/>
        <v>8.83</v>
      </c>
      <c r="I97" s="81">
        <f t="shared" si="16"/>
        <v>12.28</v>
      </c>
      <c r="J97" s="81">
        <f t="shared" si="17"/>
        <v>21.11</v>
      </c>
      <c r="K97" s="81">
        <f t="shared" si="28"/>
        <v>13.88</v>
      </c>
      <c r="L97" s="81">
        <f t="shared" si="29"/>
        <v>15.57</v>
      </c>
      <c r="M97" s="81">
        <f t="shared" si="20"/>
        <v>29.450000000000003</v>
      </c>
      <c r="N97" s="78"/>
      <c r="O97" s="90"/>
      <c r="P97" s="90"/>
    </row>
    <row r="98" spans="1:16" ht="15">
      <c r="A98" s="222">
        <v>79</v>
      </c>
      <c r="B98" s="425" t="str">
        <f t="shared" si="23"/>
        <v>PTO AIR BLAST SPRAYER (500)</v>
      </c>
      <c r="C98" s="64">
        <f t="shared" si="24"/>
        <v>21740.43519258347</v>
      </c>
      <c r="D98" s="80">
        <f t="shared" si="25"/>
        <v>18.48</v>
      </c>
      <c r="E98" s="80">
        <f t="shared" si="26"/>
        <v>25.06</v>
      </c>
      <c r="F98" s="80">
        <f t="shared" si="13"/>
        <v>43.54</v>
      </c>
      <c r="G98" s="270">
        <f t="shared" si="27"/>
        <v>0.2</v>
      </c>
      <c r="H98" s="270">
        <f t="shared" si="15"/>
        <v>3.7</v>
      </c>
      <c r="I98" s="81">
        <f t="shared" si="16"/>
        <v>5.01</v>
      </c>
      <c r="J98" s="81">
        <f t="shared" si="17"/>
        <v>8.71</v>
      </c>
      <c r="K98" s="81">
        <f t="shared" si="28"/>
        <v>6.73</v>
      </c>
      <c r="L98" s="81">
        <f t="shared" si="29"/>
        <v>6.95</v>
      </c>
      <c r="M98" s="81">
        <f t="shared" si="20"/>
        <v>13.68</v>
      </c>
      <c r="N98" s="78"/>
      <c r="O98" s="90"/>
      <c r="P98" s="90"/>
    </row>
    <row r="99" spans="1:16" ht="15">
      <c r="A99" s="222">
        <v>80</v>
      </c>
      <c r="B99" s="425" t="str">
        <f t="shared" si="23"/>
        <v>PTO BALER</v>
      </c>
      <c r="C99" s="64">
        <f t="shared" si="24"/>
        <v>15793.840158206927</v>
      </c>
      <c r="D99" s="80">
        <f t="shared" si="25"/>
        <v>5.1</v>
      </c>
      <c r="E99" s="80">
        <f t="shared" si="26"/>
        <v>20.94</v>
      </c>
      <c r="F99" s="80">
        <f t="shared" si="13"/>
        <v>26.04</v>
      </c>
      <c r="G99" s="270">
        <f t="shared" si="27"/>
        <v>0.38</v>
      </c>
      <c r="H99" s="270">
        <f t="shared" si="15"/>
        <v>1.94</v>
      </c>
      <c r="I99" s="81">
        <f t="shared" si="16"/>
        <v>7.96</v>
      </c>
      <c r="J99" s="81">
        <f t="shared" si="17"/>
        <v>9.9</v>
      </c>
      <c r="K99" s="81">
        <f t="shared" si="28"/>
        <v>7.71</v>
      </c>
      <c r="L99" s="81">
        <f t="shared" si="29"/>
        <v>11.64</v>
      </c>
      <c r="M99" s="81">
        <f t="shared" si="20"/>
        <v>19.35</v>
      </c>
      <c r="N99" s="78"/>
      <c r="O99" s="90"/>
      <c r="P99" s="90"/>
    </row>
    <row r="100" spans="1:16" ht="15">
      <c r="A100" s="222">
        <v>80.1</v>
      </c>
      <c r="B100" s="425" t="str">
        <f t="shared" si="23"/>
        <v>ROUND BALER</v>
      </c>
      <c r="C100" s="64">
        <f>VLOOKUP(A100,Mach_Name,5)</f>
        <v>13126.284084536412</v>
      </c>
      <c r="D100" s="80">
        <f>ROUND(SUM(VLOOKUP(A100,Mach_Name,24)),2)</f>
        <v>4.53</v>
      </c>
      <c r="E100" s="80">
        <f>ROUND(SUM(VLOOKUP(A100,Mach_Name,20),VLOOKUP(A100,Mach_Name,21),VLOOKUP(A100,Mach_Name,22),VLOOKUP(A100,Mach_Name,23)),2)</f>
        <v>13.92</v>
      </c>
      <c r="F100" s="80">
        <f>D100+E100</f>
        <v>18.45</v>
      </c>
      <c r="G100" s="270">
        <f>ROUND(IF(VLOOKUP(A100,Mach_Name,9)="-","-",(1/((VLOOKUP(A100,Mach_Name,8)*VLOOKUP(A100,Mach_Name,9)*VLOOKUP(A100,Mach_Name,13))/8.25))),2)</f>
        <v>0.38</v>
      </c>
      <c r="H100" s="270">
        <f>ROUND(G100*D100,2)</f>
        <v>1.72</v>
      </c>
      <c r="I100" s="81">
        <f>ROUND(G100*E100,2)</f>
        <v>5.29</v>
      </c>
      <c r="J100" s="81">
        <f>H100+I100</f>
        <v>7.01</v>
      </c>
      <c r="K100" s="81">
        <f>ROUND(IF(VLOOKUP(A100,Mach_Name,7)="-",VLOOKUP(A100,Mach_Cost,8),(VLOOKUP(VLOOKUP(A100,Mach_Name,7),Mach_Cost,4)+VLOOKUP(A100,Mach_Cost,4))*VLOOKUP(A100,Mach_Cost,7)),2)</f>
        <v>7.49</v>
      </c>
      <c r="L100" s="81">
        <f>ROUND(IF(VLOOKUP(A100,Mach_Name,7)="-",VLOOKUP(A100,Mach_Cost,9),(VLOOKUP(VLOOKUP(A100,Mach_Name,7),Mach_Cost,5)+VLOOKUP(A100,Mach_Cost,5))*VLOOKUP(A100,Mach_Cost,7)),2)</f>
        <v>8.98</v>
      </c>
      <c r="M100" s="81">
        <f>K100+L100</f>
        <v>16.47</v>
      </c>
      <c r="N100" s="78"/>
      <c r="O100" s="90"/>
      <c r="P100" s="90"/>
    </row>
    <row r="101" spans="1:16" ht="15">
      <c r="A101" s="222">
        <v>80.2</v>
      </c>
      <c r="B101" s="425" t="str">
        <f t="shared" si="23"/>
        <v>SMALL BALER</v>
      </c>
      <c r="C101" s="64">
        <f>VLOOKUP(A101,Mach_Name,5)</f>
        <v>8706.941378159063</v>
      </c>
      <c r="D101" s="80">
        <f>ROUND(SUM(VLOOKUP(A101,Mach_Name,24)),2)</f>
        <v>2.81</v>
      </c>
      <c r="E101" s="80">
        <f>ROUND(SUM(VLOOKUP(A101,Mach_Name,20),VLOOKUP(A101,Mach_Name,21),VLOOKUP(A101,Mach_Name,22),VLOOKUP(A101,Mach_Name,23)),2)</f>
        <v>11.54</v>
      </c>
      <c r="F101" s="80">
        <f>D101+E101</f>
        <v>14.35</v>
      </c>
      <c r="G101" s="270">
        <f>ROUND(IF(VLOOKUP(A101,Mach_Name,9)="-","-",(1/((VLOOKUP(A101,Mach_Name,8)*VLOOKUP(A101,Mach_Name,9)*VLOOKUP(A101,Mach_Name,13))/8.25))),2)</f>
        <v>0.38</v>
      </c>
      <c r="H101" s="270">
        <f>ROUND(G101*D101,2)</f>
        <v>1.07</v>
      </c>
      <c r="I101" s="81">
        <f>ROUND(G101*E101,2)</f>
        <v>4.39</v>
      </c>
      <c r="J101" s="81">
        <f>H101+I101</f>
        <v>5.46</v>
      </c>
      <c r="K101" s="81">
        <f>ROUND(IF(VLOOKUP(A101,Mach_Name,7)="-",VLOOKUP(A101,Mach_Cost,8),(VLOOKUP(VLOOKUP(A101,Mach_Name,7),Mach_Cost,4)+VLOOKUP(A101,Mach_Cost,4))*VLOOKUP(A101,Mach_Cost,7)),2)</f>
        <v>6.84</v>
      </c>
      <c r="L101" s="81">
        <f>ROUND(IF(VLOOKUP(A101,Mach_Name,7)="-",VLOOKUP(A101,Mach_Cost,9),(VLOOKUP(VLOOKUP(A101,Mach_Name,7),Mach_Cost,5)+VLOOKUP(A101,Mach_Cost,5))*VLOOKUP(A101,Mach_Cost,7)),2)</f>
        <v>8.07</v>
      </c>
      <c r="M101" s="81">
        <f>K101+L101</f>
        <v>14.91</v>
      </c>
      <c r="N101" s="78"/>
      <c r="O101" s="90"/>
      <c r="P101" s="90"/>
    </row>
    <row r="102" spans="1:16" ht="15">
      <c r="A102" s="222">
        <v>80.3</v>
      </c>
      <c r="B102" s="425" t="str">
        <f>VLOOKUP(A102,Mach_Name,2)</f>
        <v>LARGE BALER</v>
      </c>
      <c r="C102" s="64">
        <f>VLOOKUP(A102,Mach_Name,5)</f>
        <v>11411.795</v>
      </c>
      <c r="D102" s="80">
        <f>ROUND(SUM(VLOOKUP(A102,Mach_Name,24)),2)</f>
        <v>3.68</v>
      </c>
      <c r="E102" s="80">
        <f>ROUND(SUM(VLOOKUP(A102,Mach_Name,20),VLOOKUP(A102,Mach_Name,21),VLOOKUP(A102,Mach_Name,22),VLOOKUP(A102,Mach_Name,23)),2)</f>
        <v>15.13</v>
      </c>
      <c r="F102" s="80">
        <f>D102+E102</f>
        <v>18.810000000000002</v>
      </c>
      <c r="G102" s="270">
        <f>ROUND(IF(VLOOKUP(A102,Mach_Name,9)="-","-",(1/((VLOOKUP(A102,Mach_Name,8)*VLOOKUP(A102,Mach_Name,9)*VLOOKUP(A102,Mach_Name,13))/8.25))),2)</f>
        <v>0.26</v>
      </c>
      <c r="H102" s="270">
        <f>ROUND(G102*D102,2)</f>
        <v>0.96</v>
      </c>
      <c r="I102" s="81">
        <f>ROUND(G102*E102,2)</f>
        <v>3.93</v>
      </c>
      <c r="J102" s="81">
        <f>H102+I102</f>
        <v>4.890000000000001</v>
      </c>
      <c r="K102" s="81">
        <f>ROUND(IF(VLOOKUP(A102,Mach_Name,7)="-",VLOOKUP(A102,Mach_Cost,8),(VLOOKUP(VLOOKUP(A102,Mach_Name,7),Mach_Cost,4)+VLOOKUP(A102,Mach_Cost,4))*VLOOKUP(A102,Mach_Cost,7)),2)</f>
        <v>5.67</v>
      </c>
      <c r="L102" s="81">
        <f>ROUND(IF(VLOOKUP(A102,Mach_Name,7)="-",VLOOKUP(A102,Mach_Cost,9),(VLOOKUP(VLOOKUP(A102,Mach_Name,7),Mach_Cost,5)+VLOOKUP(A102,Mach_Cost,5))*VLOOKUP(A102,Mach_Cost,7)),2)</f>
        <v>6.9</v>
      </c>
      <c r="M102" s="81">
        <f>K102+L102</f>
        <v>12.57</v>
      </c>
      <c r="N102" s="78"/>
      <c r="O102" s="90"/>
      <c r="P102" s="90"/>
    </row>
    <row r="103" spans="1:16" ht="15">
      <c r="A103" s="222">
        <v>81</v>
      </c>
      <c r="B103" s="425" t="str">
        <f t="shared" si="23"/>
        <v>PULL TYPE SPRAYER</v>
      </c>
      <c r="C103" s="64">
        <f t="shared" si="24"/>
        <v>5224.504944940802</v>
      </c>
      <c r="D103" s="80">
        <f t="shared" si="25"/>
        <v>2.09</v>
      </c>
      <c r="E103" s="80">
        <f t="shared" si="26"/>
        <v>9.5</v>
      </c>
      <c r="F103" s="80">
        <f t="shared" si="13"/>
        <v>11.59</v>
      </c>
      <c r="G103" s="270">
        <f t="shared" si="27"/>
        <v>0.18</v>
      </c>
      <c r="H103" s="270">
        <f t="shared" si="15"/>
        <v>0.38</v>
      </c>
      <c r="I103" s="81">
        <f t="shared" si="16"/>
        <v>1.71</v>
      </c>
      <c r="J103" s="81">
        <f t="shared" si="17"/>
        <v>2.09</v>
      </c>
      <c r="K103" s="81">
        <f t="shared" si="28"/>
        <v>1.69</v>
      </c>
      <c r="L103" s="81">
        <f t="shared" si="29"/>
        <v>2.57</v>
      </c>
      <c r="M103" s="81">
        <f t="shared" si="20"/>
        <v>4.26</v>
      </c>
      <c r="N103" s="78"/>
      <c r="O103" s="90"/>
      <c r="P103" s="90"/>
    </row>
    <row r="104" spans="1:16" ht="15">
      <c r="A104" s="222">
        <v>82</v>
      </c>
      <c r="B104" s="425" t="str">
        <f aca="true" t="shared" si="30" ref="B104:B140">VLOOKUP(A104,Mach_Name,2)</f>
        <v>RAKE</v>
      </c>
      <c r="C104" s="64">
        <f aca="true" t="shared" si="31" ref="C104:C140">VLOOKUP(A104,Mach_Name,5)</f>
        <v>3098.4872786649144</v>
      </c>
      <c r="D104" s="80">
        <f aca="true" t="shared" si="32" ref="D104:D140">ROUND(SUM(VLOOKUP(A104,Mach_Name,24)),2)</f>
        <v>0.92</v>
      </c>
      <c r="E104" s="80">
        <f aca="true" t="shared" si="33" ref="E104:E140">ROUND(SUM(VLOOKUP(A104,Mach_Name,20),VLOOKUP(A104,Mach_Name,21),VLOOKUP(A104,Mach_Name,22),VLOOKUP(A104,Mach_Name,23)),2)</f>
        <v>4.76</v>
      </c>
      <c r="F104" s="80">
        <f aca="true" t="shared" si="34" ref="F104:F155">D104+E104</f>
        <v>5.68</v>
      </c>
      <c r="G104" s="270">
        <f aca="true" t="shared" si="35" ref="G104:G140">ROUND(IF(VLOOKUP(A104,Mach_Name,9)="-","-",(1/((VLOOKUP(A104,Mach_Name,8)*VLOOKUP(A104,Mach_Name,9)*VLOOKUP(A104,Mach_Name,13))/8.25))),2)</f>
        <v>0.25</v>
      </c>
      <c r="H104" s="270">
        <f t="shared" si="15"/>
        <v>0.23</v>
      </c>
      <c r="I104" s="81">
        <f t="shared" si="16"/>
        <v>1.19</v>
      </c>
      <c r="J104" s="81">
        <f t="shared" si="17"/>
        <v>1.42</v>
      </c>
      <c r="K104" s="81">
        <f aca="true" t="shared" si="36" ref="K104:K140">ROUND(IF(VLOOKUP(A104,Mach_Name,7)="-",VLOOKUP(A104,Mach_Cost,8),(VLOOKUP(VLOOKUP(A104,Mach_Name,7),Mach_Cost,4)+VLOOKUP(A104,Mach_Cost,4))*VLOOKUP(A104,Mach_Cost,7)),2)</f>
        <v>2.06</v>
      </c>
      <c r="L104" s="81">
        <f aca="true" t="shared" si="37" ref="L104:L140">ROUND(IF(VLOOKUP(A104,Mach_Name,7)="-",VLOOKUP(A104,Mach_Cost,9),(VLOOKUP(VLOOKUP(A104,Mach_Name,7),Mach_Cost,5)+VLOOKUP(A104,Mach_Cost,5))*VLOOKUP(A104,Mach_Cost,7)),2)</f>
        <v>2.38</v>
      </c>
      <c r="M104" s="81">
        <f t="shared" si="20"/>
        <v>4.4399999999999995</v>
      </c>
      <c r="N104" s="78"/>
      <c r="O104" s="90"/>
      <c r="P104" s="90"/>
    </row>
    <row r="105" spans="1:16" ht="15">
      <c r="A105" s="222">
        <v>83</v>
      </c>
      <c r="B105" s="425" t="str">
        <f t="shared" si="30"/>
        <v>ROLLING CULTIVATOR 6-ROW</v>
      </c>
      <c r="C105" s="64">
        <f t="shared" si="31"/>
        <v>5675.504312817574</v>
      </c>
      <c r="D105" s="80">
        <f t="shared" si="32"/>
        <v>1.8</v>
      </c>
      <c r="E105" s="80">
        <f t="shared" si="33"/>
        <v>4.13</v>
      </c>
      <c r="F105" s="80">
        <f t="shared" si="34"/>
        <v>5.93</v>
      </c>
      <c r="G105" s="270">
        <f t="shared" si="35"/>
        <v>0.17</v>
      </c>
      <c r="H105" s="270">
        <f aca="true" t="shared" si="38" ref="H105:H155">ROUND(G105*D105,2)</f>
        <v>0.31</v>
      </c>
      <c r="I105" s="81">
        <f aca="true" t="shared" si="39" ref="I105:I155">ROUND(G105*E105,2)</f>
        <v>0.7</v>
      </c>
      <c r="J105" s="81">
        <f aca="true" t="shared" si="40" ref="J105:J155">H105+I105</f>
        <v>1.01</v>
      </c>
      <c r="K105" s="81">
        <f t="shared" si="36"/>
        <v>2.08</v>
      </c>
      <c r="L105" s="81">
        <f t="shared" si="37"/>
        <v>1.77</v>
      </c>
      <c r="M105" s="81">
        <f t="shared" si="20"/>
        <v>3.85</v>
      </c>
      <c r="N105" s="78"/>
      <c r="O105" s="90"/>
      <c r="P105" s="90"/>
    </row>
    <row r="106" spans="1:16" ht="15">
      <c r="A106" s="222">
        <v>84</v>
      </c>
      <c r="B106" s="425" t="str">
        <f t="shared" si="30"/>
        <v>ROTARY MOWER 7'</v>
      </c>
      <c r="C106" s="64">
        <f t="shared" si="31"/>
        <v>3466.489382446315</v>
      </c>
      <c r="D106" s="80">
        <f t="shared" si="32"/>
        <v>1.05</v>
      </c>
      <c r="E106" s="80">
        <f t="shared" si="33"/>
        <v>4</v>
      </c>
      <c r="F106" s="80">
        <f t="shared" si="34"/>
        <v>5.05</v>
      </c>
      <c r="G106" s="270">
        <f t="shared" si="35"/>
        <v>0.29</v>
      </c>
      <c r="H106" s="270">
        <f t="shared" si="38"/>
        <v>0.3</v>
      </c>
      <c r="I106" s="81">
        <f t="shared" si="39"/>
        <v>1.16</v>
      </c>
      <c r="J106" s="81">
        <f t="shared" si="40"/>
        <v>1.46</v>
      </c>
      <c r="K106" s="81">
        <f t="shared" si="36"/>
        <v>2.42</v>
      </c>
      <c r="L106" s="81">
        <f t="shared" si="37"/>
        <v>2.54</v>
      </c>
      <c r="M106" s="81">
        <f aca="true" t="shared" si="41" ref="M106:M155">K106+L106</f>
        <v>4.96</v>
      </c>
      <c r="N106" s="78"/>
      <c r="O106" s="90"/>
      <c r="P106" s="90"/>
    </row>
    <row r="107" spans="1:16" ht="15">
      <c r="A107" s="222">
        <v>84.1</v>
      </c>
      <c r="B107" s="425" t="str">
        <f>VLOOKUP(A107,Mach_Name,2)</f>
        <v>ROTARY MOWER 14'</v>
      </c>
      <c r="C107" s="64">
        <f>VLOOKUP(A107,Mach_Name,5)</f>
        <v>6022.75</v>
      </c>
      <c r="D107" s="80">
        <f>ROUND(SUM(VLOOKUP(A107,Mach_Name,24)),2)</f>
        <v>1.83</v>
      </c>
      <c r="E107" s="80">
        <f>ROUND(SUM(VLOOKUP(A107,Mach_Name,20),VLOOKUP(A107,Mach_Name,21),VLOOKUP(A107,Mach_Name,22),VLOOKUP(A107,Mach_Name,23)),2)</f>
        <v>8.31</v>
      </c>
      <c r="F107" s="80">
        <f>D107+E107</f>
        <v>10.14</v>
      </c>
      <c r="G107" s="270">
        <f>ROUND(IF(VLOOKUP(A107,Mach_Name,9)="-","-",(1/((VLOOKUP(A107,Mach_Name,8)*VLOOKUP(A107,Mach_Name,9)*VLOOKUP(A107,Mach_Name,13))/8.25))),2)</f>
        <v>0.15</v>
      </c>
      <c r="H107" s="270">
        <f>ROUND(G107*D107,2)</f>
        <v>0.27</v>
      </c>
      <c r="I107" s="81">
        <f>ROUND(G107*E107,2)</f>
        <v>1.25</v>
      </c>
      <c r="J107" s="81">
        <f>H107+I107</f>
        <v>1.52</v>
      </c>
      <c r="K107" s="81">
        <f>ROUND(IF(VLOOKUP(A107,Mach_Name,7)="-",VLOOKUP(A107,Mach_Cost,8),(VLOOKUP(VLOOKUP(A107,Mach_Name,7),Mach_Cost,4)+VLOOKUP(A107,Mach_Cost,4))*VLOOKUP(A107,Mach_Cost,7)),2)</f>
        <v>1.37</v>
      </c>
      <c r="L107" s="81">
        <f>ROUND(IF(VLOOKUP(A107,Mach_Name,7)="-",VLOOKUP(A107,Mach_Cost,9),(VLOOKUP(VLOOKUP(A107,Mach_Name,7),Mach_Cost,5)+VLOOKUP(A107,Mach_Cost,5))*VLOOKUP(A107,Mach_Cost,7)),2)</f>
        <v>1.96</v>
      </c>
      <c r="M107" s="81">
        <f>K107+L107</f>
        <v>3.33</v>
      </c>
      <c r="N107" s="78"/>
      <c r="O107" s="90"/>
      <c r="P107" s="90"/>
    </row>
    <row r="108" spans="1:16" ht="15">
      <c r="A108" s="222">
        <v>85</v>
      </c>
      <c r="B108" s="425" t="str">
        <f t="shared" si="30"/>
        <v>ROTOVATOR</v>
      </c>
      <c r="C108" s="64">
        <f t="shared" si="31"/>
        <v>1932.3757740199744</v>
      </c>
      <c r="D108" s="80">
        <f t="shared" si="32"/>
        <v>1.49</v>
      </c>
      <c r="E108" s="80">
        <f t="shared" si="33"/>
        <v>4.45</v>
      </c>
      <c r="F108" s="80">
        <f t="shared" si="34"/>
        <v>5.94</v>
      </c>
      <c r="G108" s="270">
        <f t="shared" si="35"/>
        <v>1.41</v>
      </c>
      <c r="H108" s="270">
        <f t="shared" si="38"/>
        <v>2.1</v>
      </c>
      <c r="I108" s="81">
        <f t="shared" si="39"/>
        <v>6.27</v>
      </c>
      <c r="J108" s="81">
        <f t="shared" si="40"/>
        <v>8.37</v>
      </c>
      <c r="K108" s="81">
        <f t="shared" si="36"/>
        <v>12.41</v>
      </c>
      <c r="L108" s="81">
        <f t="shared" si="37"/>
        <v>13</v>
      </c>
      <c r="M108" s="81">
        <f t="shared" si="41"/>
        <v>25.41</v>
      </c>
      <c r="N108" s="274"/>
      <c r="O108" s="275"/>
      <c r="P108" s="275"/>
    </row>
    <row r="109" spans="1:16" ht="15">
      <c r="A109" s="222">
        <v>86</v>
      </c>
      <c r="B109" s="425" t="str">
        <f t="shared" si="30"/>
        <v>SICKLE MOWER</v>
      </c>
      <c r="C109" s="64">
        <f t="shared" si="31"/>
        <v>2610.0020268052513</v>
      </c>
      <c r="D109" s="80">
        <f t="shared" si="32"/>
        <v>3.82</v>
      </c>
      <c r="E109" s="80">
        <f t="shared" si="33"/>
        <v>6.02</v>
      </c>
      <c r="F109" s="80">
        <f t="shared" si="34"/>
        <v>9.84</v>
      </c>
      <c r="G109" s="270">
        <f t="shared" si="35"/>
        <v>0.26</v>
      </c>
      <c r="H109" s="270">
        <f t="shared" si="38"/>
        <v>0.99</v>
      </c>
      <c r="I109" s="81">
        <f t="shared" si="39"/>
        <v>1.57</v>
      </c>
      <c r="J109" s="81">
        <f t="shared" si="40"/>
        <v>2.56</v>
      </c>
      <c r="K109" s="81">
        <f t="shared" si="36"/>
        <v>2.89</v>
      </c>
      <c r="L109" s="81">
        <f t="shared" si="37"/>
        <v>2.81</v>
      </c>
      <c r="M109" s="81">
        <f t="shared" si="41"/>
        <v>5.7</v>
      </c>
      <c r="N109" s="274"/>
      <c r="O109" s="275"/>
      <c r="P109" s="275"/>
    </row>
    <row r="110" spans="1:16" ht="15">
      <c r="A110" s="222">
        <v>87</v>
      </c>
      <c r="B110" s="425" t="str">
        <f t="shared" si="30"/>
        <v>SIDEDRESSER 2-ROW</v>
      </c>
      <c r="C110" s="64">
        <f t="shared" si="31"/>
        <v>1932.3757740199744</v>
      </c>
      <c r="D110" s="80">
        <f t="shared" si="32"/>
        <v>0.41</v>
      </c>
      <c r="E110" s="80">
        <f t="shared" si="33"/>
        <v>2.23</v>
      </c>
      <c r="F110" s="80">
        <f t="shared" si="34"/>
        <v>2.64</v>
      </c>
      <c r="G110" s="270">
        <f t="shared" si="35"/>
        <v>0.56</v>
      </c>
      <c r="H110" s="270">
        <f t="shared" si="38"/>
        <v>0.23</v>
      </c>
      <c r="I110" s="81">
        <f t="shared" si="39"/>
        <v>1.25</v>
      </c>
      <c r="J110" s="81">
        <f t="shared" si="40"/>
        <v>1.48</v>
      </c>
      <c r="K110" s="81">
        <f t="shared" si="36"/>
        <v>6.07</v>
      </c>
      <c r="L110" s="81">
        <f t="shared" si="37"/>
        <v>4.77</v>
      </c>
      <c r="M110" s="81">
        <f t="shared" si="41"/>
        <v>10.84</v>
      </c>
      <c r="N110" s="274"/>
      <c r="O110" s="275"/>
      <c r="P110" s="275"/>
    </row>
    <row r="111" spans="1:16" ht="15">
      <c r="A111" s="222">
        <v>88</v>
      </c>
      <c r="B111" s="425" t="str">
        <f t="shared" si="30"/>
        <v>SILAGE BLOWER</v>
      </c>
      <c r="C111" s="64">
        <f t="shared" si="31"/>
        <v>3623.204576287452</v>
      </c>
      <c r="D111" s="80">
        <f t="shared" si="32"/>
        <v>1.81</v>
      </c>
      <c r="E111" s="80">
        <f t="shared" si="33"/>
        <v>4.21</v>
      </c>
      <c r="F111" s="80">
        <f t="shared" si="34"/>
        <v>6.02</v>
      </c>
      <c r="G111" s="270">
        <f t="shared" si="35"/>
        <v>0.47</v>
      </c>
      <c r="H111" s="270">
        <f t="shared" si="38"/>
        <v>0.85</v>
      </c>
      <c r="I111" s="81">
        <f t="shared" si="39"/>
        <v>1.98</v>
      </c>
      <c r="J111" s="81">
        <f t="shared" si="40"/>
        <v>2.83</v>
      </c>
      <c r="K111" s="81">
        <f t="shared" si="36"/>
        <v>4.29</v>
      </c>
      <c r="L111" s="81">
        <f t="shared" si="37"/>
        <v>4.22</v>
      </c>
      <c r="M111" s="81">
        <f t="shared" si="41"/>
        <v>8.51</v>
      </c>
      <c r="N111" s="274"/>
      <c r="O111" s="275"/>
      <c r="P111" s="275"/>
    </row>
    <row r="112" spans="1:16" ht="15">
      <c r="A112" s="222">
        <v>89</v>
      </c>
      <c r="B112" s="425" t="str">
        <f t="shared" si="30"/>
        <v>SILAGE CHOPPER</v>
      </c>
      <c r="C112" s="64">
        <f t="shared" si="31"/>
        <v>24329.214862340858</v>
      </c>
      <c r="D112" s="80">
        <f t="shared" si="32"/>
        <v>17.23</v>
      </c>
      <c r="E112" s="80">
        <f t="shared" si="33"/>
        <v>28.25</v>
      </c>
      <c r="F112" s="80">
        <f t="shared" si="34"/>
        <v>45.480000000000004</v>
      </c>
      <c r="G112" s="270">
        <f t="shared" si="35"/>
        <v>0.43</v>
      </c>
      <c r="H112" s="270">
        <f t="shared" si="38"/>
        <v>7.41</v>
      </c>
      <c r="I112" s="81">
        <f t="shared" si="39"/>
        <v>12.15</v>
      </c>
      <c r="J112" s="81">
        <f t="shared" si="40"/>
        <v>19.560000000000002</v>
      </c>
      <c r="K112" s="81">
        <f t="shared" si="36"/>
        <v>15.21</v>
      </c>
      <c r="L112" s="81">
        <f t="shared" si="37"/>
        <v>17.05</v>
      </c>
      <c r="M112" s="81">
        <f t="shared" si="41"/>
        <v>32.260000000000005</v>
      </c>
      <c r="N112" s="274"/>
      <c r="O112" s="275"/>
      <c r="P112" s="275"/>
    </row>
    <row r="113" spans="1:16" ht="15">
      <c r="A113" s="222">
        <v>90</v>
      </c>
      <c r="B113" s="425" t="str">
        <f t="shared" si="30"/>
        <v>SILAGE CHOPPER &amp; WAGON</v>
      </c>
      <c r="C113" s="64">
        <f t="shared" si="31"/>
        <v>33212.70861596831</v>
      </c>
      <c r="D113" s="80">
        <f t="shared" si="32"/>
        <v>21.58</v>
      </c>
      <c r="E113" s="80">
        <f t="shared" si="33"/>
        <v>51.42</v>
      </c>
      <c r="F113" s="80">
        <f t="shared" si="34"/>
        <v>73</v>
      </c>
      <c r="G113" s="270">
        <f t="shared" si="35"/>
        <v>0.57</v>
      </c>
      <c r="H113" s="270">
        <f t="shared" si="38"/>
        <v>12.3</v>
      </c>
      <c r="I113" s="81">
        <f t="shared" si="39"/>
        <v>29.31</v>
      </c>
      <c r="J113" s="81">
        <f t="shared" si="40"/>
        <v>41.61</v>
      </c>
      <c r="K113" s="81">
        <f t="shared" si="36"/>
        <v>22.64</v>
      </c>
      <c r="L113" s="81">
        <f t="shared" si="37"/>
        <v>35.8</v>
      </c>
      <c r="M113" s="81">
        <f t="shared" si="41"/>
        <v>58.44</v>
      </c>
      <c r="N113" s="274"/>
      <c r="O113" s="275"/>
      <c r="P113" s="275"/>
    </row>
    <row r="114" spans="1:16" ht="15">
      <c r="A114" s="222">
        <v>91</v>
      </c>
      <c r="B114" s="425" t="str">
        <f t="shared" si="30"/>
        <v>SILAGE WAGON</v>
      </c>
      <c r="C114" s="64">
        <f t="shared" si="31"/>
        <v>8907.04458337332</v>
      </c>
      <c r="D114" s="80">
        <f t="shared" si="32"/>
        <v>3.07</v>
      </c>
      <c r="E114" s="80">
        <f t="shared" si="33"/>
        <v>10.34</v>
      </c>
      <c r="F114" s="80">
        <f t="shared" si="34"/>
        <v>13.41</v>
      </c>
      <c r="G114" s="270">
        <f t="shared" si="35"/>
        <v>0.57</v>
      </c>
      <c r="H114" s="270">
        <f t="shared" si="38"/>
        <v>1.75</v>
      </c>
      <c r="I114" s="81">
        <f t="shared" si="39"/>
        <v>5.89</v>
      </c>
      <c r="J114" s="81">
        <f t="shared" si="40"/>
        <v>7.64</v>
      </c>
      <c r="K114" s="81">
        <f t="shared" si="36"/>
        <v>10.41</v>
      </c>
      <c r="L114" s="81">
        <f t="shared" si="37"/>
        <v>11.42</v>
      </c>
      <c r="M114" s="81">
        <f t="shared" si="41"/>
        <v>21.83</v>
      </c>
      <c r="N114" s="274"/>
      <c r="O114" s="275"/>
      <c r="P114" s="275"/>
    </row>
    <row r="115" spans="1:16" ht="15">
      <c r="A115" s="222">
        <v>92</v>
      </c>
      <c r="B115" s="425" t="str">
        <f t="shared" si="30"/>
        <v>SPIKE HARROW</v>
      </c>
      <c r="C115" s="64">
        <f t="shared" si="31"/>
        <v>1086.9613728862355</v>
      </c>
      <c r="D115" s="80">
        <f t="shared" si="32"/>
        <v>0.11</v>
      </c>
      <c r="E115" s="80">
        <f t="shared" si="33"/>
        <v>1.32</v>
      </c>
      <c r="F115" s="80">
        <f t="shared" si="34"/>
        <v>1.4300000000000002</v>
      </c>
      <c r="G115" s="270">
        <f t="shared" si="35"/>
        <v>0.24</v>
      </c>
      <c r="H115" s="270">
        <f t="shared" si="38"/>
        <v>0.03</v>
      </c>
      <c r="I115" s="81">
        <f t="shared" si="39"/>
        <v>0.32</v>
      </c>
      <c r="J115" s="81">
        <f t="shared" si="40"/>
        <v>0.35</v>
      </c>
      <c r="K115" s="81">
        <f t="shared" si="36"/>
        <v>1.78</v>
      </c>
      <c r="L115" s="81">
        <f t="shared" si="37"/>
        <v>1.46</v>
      </c>
      <c r="M115" s="81">
        <f t="shared" si="41"/>
        <v>3.24</v>
      </c>
      <c r="N115" s="274"/>
      <c r="O115" s="275"/>
      <c r="P115" s="275"/>
    </row>
    <row r="116" spans="1:16" ht="15">
      <c r="A116" s="222">
        <v>93</v>
      </c>
      <c r="B116" s="425" t="str">
        <f t="shared" si="30"/>
        <v>ORCHARD SPRAYER</v>
      </c>
      <c r="C116" s="64">
        <f t="shared" si="31"/>
        <v>18116.02288143726</v>
      </c>
      <c r="D116" s="80">
        <f t="shared" si="32"/>
        <v>10.61</v>
      </c>
      <c r="E116" s="80">
        <f t="shared" si="33"/>
        <v>26.1</v>
      </c>
      <c r="F116" s="80">
        <f t="shared" si="34"/>
        <v>36.71</v>
      </c>
      <c r="G116" s="270">
        <f t="shared" si="35"/>
        <v>0.18</v>
      </c>
      <c r="H116" s="270">
        <f t="shared" si="38"/>
        <v>1.91</v>
      </c>
      <c r="I116" s="81">
        <f t="shared" si="39"/>
        <v>4.7</v>
      </c>
      <c r="J116" s="81">
        <f t="shared" si="40"/>
        <v>6.61</v>
      </c>
      <c r="K116" s="81">
        <f t="shared" si="36"/>
        <v>3.23</v>
      </c>
      <c r="L116" s="81">
        <f t="shared" si="37"/>
        <v>5.56</v>
      </c>
      <c r="M116" s="81">
        <f t="shared" si="41"/>
        <v>8.79</v>
      </c>
      <c r="N116" s="274"/>
      <c r="O116" s="275"/>
      <c r="P116" s="275"/>
    </row>
    <row r="117" spans="1:16" ht="15">
      <c r="A117" s="222">
        <v>94</v>
      </c>
      <c r="B117" s="425" t="str">
        <f t="shared" si="30"/>
        <v>SPRING TOOTH</v>
      </c>
      <c r="C117" s="64">
        <f t="shared" si="31"/>
        <v>2640.7122686841712</v>
      </c>
      <c r="D117" s="80">
        <f t="shared" si="32"/>
        <v>0.01</v>
      </c>
      <c r="E117" s="80">
        <f t="shared" si="33"/>
        <v>3.2</v>
      </c>
      <c r="F117" s="80">
        <f t="shared" si="34"/>
        <v>3.21</v>
      </c>
      <c r="G117" s="270">
        <f t="shared" si="35"/>
        <v>0.11</v>
      </c>
      <c r="H117" s="270">
        <f t="shared" si="38"/>
        <v>0</v>
      </c>
      <c r="I117" s="81">
        <f t="shared" si="39"/>
        <v>0.35</v>
      </c>
      <c r="J117" s="81">
        <f t="shared" si="40"/>
        <v>0.35</v>
      </c>
      <c r="K117" s="81">
        <f t="shared" si="36"/>
        <v>0.81</v>
      </c>
      <c r="L117" s="81">
        <f t="shared" si="37"/>
        <v>0.88</v>
      </c>
      <c r="M117" s="81">
        <f t="shared" si="41"/>
        <v>1.69</v>
      </c>
      <c r="N117" s="274"/>
      <c r="O117" s="275"/>
      <c r="P117" s="275"/>
    </row>
    <row r="118" spans="1:16" ht="15">
      <c r="A118" s="222">
        <v>95</v>
      </c>
      <c r="B118" s="425" t="str">
        <f t="shared" si="30"/>
        <v>SUBSOILER BEDDER 2-ROW</v>
      </c>
      <c r="C118" s="64">
        <f t="shared" si="31"/>
        <v>4445.875425959557</v>
      </c>
      <c r="D118" s="80">
        <f t="shared" si="32"/>
        <v>0.99</v>
      </c>
      <c r="E118" s="80">
        <f t="shared" si="33"/>
        <v>4.61</v>
      </c>
      <c r="F118" s="80">
        <f t="shared" si="34"/>
        <v>5.6000000000000005</v>
      </c>
      <c r="G118" s="270">
        <f t="shared" si="35"/>
        <v>0.45</v>
      </c>
      <c r="H118" s="270">
        <f t="shared" si="38"/>
        <v>0.45</v>
      </c>
      <c r="I118" s="81">
        <f t="shared" si="39"/>
        <v>2.07</v>
      </c>
      <c r="J118" s="81">
        <f t="shared" si="40"/>
        <v>2.52</v>
      </c>
      <c r="K118" s="81">
        <f t="shared" si="36"/>
        <v>5.14</v>
      </c>
      <c r="L118" s="81">
        <f t="shared" si="37"/>
        <v>4.9</v>
      </c>
      <c r="M118" s="81">
        <f t="shared" si="41"/>
        <v>10.04</v>
      </c>
      <c r="N118" s="274"/>
      <c r="O118" s="275"/>
      <c r="P118" s="275"/>
    </row>
    <row r="119" spans="1:16" ht="15">
      <c r="A119" s="222">
        <v>96</v>
      </c>
      <c r="B119" s="425" t="str">
        <f t="shared" si="30"/>
        <v>SUBSOILER-BEDDER 4-ROW</v>
      </c>
      <c r="C119" s="64">
        <f t="shared" si="31"/>
        <v>7776.305377710587</v>
      </c>
      <c r="D119" s="80">
        <f t="shared" si="32"/>
        <v>5.64</v>
      </c>
      <c r="E119" s="80">
        <f t="shared" si="33"/>
        <v>5.37</v>
      </c>
      <c r="F119" s="80">
        <f t="shared" si="34"/>
        <v>11.01</v>
      </c>
      <c r="G119" s="270">
        <f t="shared" si="35"/>
        <v>0.19</v>
      </c>
      <c r="H119" s="270">
        <f t="shared" si="38"/>
        <v>1.07</v>
      </c>
      <c r="I119" s="81">
        <f t="shared" si="39"/>
        <v>1.02</v>
      </c>
      <c r="J119" s="81">
        <f t="shared" si="40"/>
        <v>2.09</v>
      </c>
      <c r="K119" s="81">
        <f t="shared" si="36"/>
        <v>3.96</v>
      </c>
      <c r="L119" s="81">
        <f t="shared" si="37"/>
        <v>2.86</v>
      </c>
      <c r="M119" s="81">
        <f t="shared" si="41"/>
        <v>6.82</v>
      </c>
      <c r="N119" s="274"/>
      <c r="O119" s="275"/>
      <c r="P119" s="275"/>
    </row>
    <row r="120" spans="1:16" ht="15">
      <c r="A120" s="222">
        <v>96.1</v>
      </c>
      <c r="B120" s="425" t="str">
        <f t="shared" si="30"/>
        <v>SUBSOILER-BEDDER 6-ROW</v>
      </c>
      <c r="C120" s="64">
        <f t="shared" si="31"/>
        <v>9659.71416802635</v>
      </c>
      <c r="D120" s="80">
        <f t="shared" si="32"/>
        <v>7</v>
      </c>
      <c r="E120" s="80">
        <f t="shared" si="33"/>
        <v>6.68</v>
      </c>
      <c r="F120" s="80">
        <f>D120+E120</f>
        <v>13.68</v>
      </c>
      <c r="G120" s="270">
        <f t="shared" si="35"/>
        <v>0.17</v>
      </c>
      <c r="H120" s="270">
        <f t="shared" si="38"/>
        <v>1.19</v>
      </c>
      <c r="I120" s="81">
        <f t="shared" si="39"/>
        <v>1.14</v>
      </c>
      <c r="J120" s="81">
        <f>H120+I120</f>
        <v>2.33</v>
      </c>
      <c r="K120" s="81">
        <f t="shared" si="36"/>
        <v>4.27</v>
      </c>
      <c r="L120" s="81">
        <f t="shared" si="37"/>
        <v>3.07</v>
      </c>
      <c r="M120" s="81">
        <f>K120+L120</f>
        <v>7.34</v>
      </c>
      <c r="N120" s="274"/>
      <c r="O120" s="275"/>
      <c r="P120" s="275"/>
    </row>
    <row r="121" spans="1:16" ht="15">
      <c r="A121" s="222">
        <v>97</v>
      </c>
      <c r="B121" s="425" t="str">
        <f t="shared" si="30"/>
        <v>SUBSOILER-PLANTER W/SPRAYER 4-ROW</v>
      </c>
      <c r="C121" s="64">
        <f t="shared" si="31"/>
        <v>24647.450490768984</v>
      </c>
      <c r="D121" s="80">
        <f t="shared" si="32"/>
        <v>12.27</v>
      </c>
      <c r="E121" s="80">
        <f t="shared" si="33"/>
        <v>25.55</v>
      </c>
      <c r="F121" s="80">
        <f t="shared" si="34"/>
        <v>37.82</v>
      </c>
      <c r="G121" s="270">
        <f t="shared" si="35"/>
        <v>0.2</v>
      </c>
      <c r="H121" s="270">
        <f t="shared" si="38"/>
        <v>2.45</v>
      </c>
      <c r="I121" s="81">
        <f t="shared" si="39"/>
        <v>5.11</v>
      </c>
      <c r="J121" s="81">
        <f t="shared" si="40"/>
        <v>7.5600000000000005</v>
      </c>
      <c r="K121" s="81">
        <f t="shared" si="36"/>
        <v>6.68</v>
      </c>
      <c r="L121" s="81">
        <f t="shared" si="37"/>
        <v>7.76</v>
      </c>
      <c r="M121" s="81">
        <f t="shared" si="41"/>
        <v>14.44</v>
      </c>
      <c r="N121" s="274"/>
      <c r="O121" s="275"/>
      <c r="P121" s="275"/>
    </row>
    <row r="122" spans="1:16" ht="15">
      <c r="A122" s="222">
        <v>97.1</v>
      </c>
      <c r="B122" s="425" t="str">
        <f t="shared" si="30"/>
        <v>SUBSOILER-PLANTER W/SPRAYER 6-ROW</v>
      </c>
      <c r="C122" s="64">
        <f t="shared" si="31"/>
        <v>29184.204155568877</v>
      </c>
      <c r="D122" s="80">
        <f t="shared" si="32"/>
        <v>14.53</v>
      </c>
      <c r="E122" s="80">
        <f t="shared" si="33"/>
        <v>30.26</v>
      </c>
      <c r="F122" s="80">
        <f>D122+E122</f>
        <v>44.79</v>
      </c>
      <c r="G122" s="270">
        <f t="shared" si="35"/>
        <v>0.18</v>
      </c>
      <c r="H122" s="270">
        <f>ROUND(G122*D122,2)</f>
        <v>2.62</v>
      </c>
      <c r="I122" s="81">
        <f>ROUND(G122*E122,2)</f>
        <v>5.45</v>
      </c>
      <c r="J122" s="81">
        <f>H122+I122</f>
        <v>8.07</v>
      </c>
      <c r="K122" s="81">
        <f t="shared" si="36"/>
        <v>7.03</v>
      </c>
      <c r="L122" s="81">
        <f t="shared" si="37"/>
        <v>8.36</v>
      </c>
      <c r="M122" s="81">
        <f>K122+L122</f>
        <v>15.39</v>
      </c>
      <c r="N122" s="274"/>
      <c r="O122" s="275"/>
      <c r="P122" s="275"/>
    </row>
    <row r="123" spans="1:16" ht="15">
      <c r="A123" s="222">
        <v>97.2</v>
      </c>
      <c r="B123" s="425" t="str">
        <f t="shared" si="30"/>
        <v>SUBSOILER-PLANTER 6-ROW</v>
      </c>
      <c r="C123" s="64">
        <f t="shared" si="31"/>
        <v>26795.47859897573</v>
      </c>
      <c r="D123" s="80">
        <f t="shared" si="32"/>
        <v>13.34</v>
      </c>
      <c r="E123" s="80">
        <f t="shared" si="33"/>
        <v>27.78</v>
      </c>
      <c r="F123" s="80">
        <f>D123+E123</f>
        <v>41.120000000000005</v>
      </c>
      <c r="G123" s="270">
        <f t="shared" si="35"/>
        <v>0.18</v>
      </c>
      <c r="H123" s="270">
        <f t="shared" si="38"/>
        <v>2.4</v>
      </c>
      <c r="I123" s="81">
        <f t="shared" si="39"/>
        <v>5</v>
      </c>
      <c r="J123" s="81">
        <f>H123+I123</f>
        <v>7.4</v>
      </c>
      <c r="K123" s="81">
        <f t="shared" si="36"/>
        <v>6.82</v>
      </c>
      <c r="L123" s="81">
        <f t="shared" si="37"/>
        <v>7.92</v>
      </c>
      <c r="M123" s="81">
        <f>K123+L123</f>
        <v>14.74</v>
      </c>
      <c r="N123" s="274"/>
      <c r="O123" s="275"/>
      <c r="P123" s="275"/>
    </row>
    <row r="124" spans="1:16" ht="15">
      <c r="A124" s="222">
        <v>98</v>
      </c>
      <c r="B124" s="425" t="str">
        <f t="shared" si="30"/>
        <v>SUPER BEDDER</v>
      </c>
      <c r="C124" s="64">
        <f t="shared" si="31"/>
        <v>3666.6830312029015</v>
      </c>
      <c r="D124" s="80">
        <f t="shared" si="32"/>
        <v>2.78</v>
      </c>
      <c r="E124" s="80">
        <f t="shared" si="33"/>
        <v>8.38</v>
      </c>
      <c r="F124" s="80">
        <f t="shared" si="34"/>
        <v>11.16</v>
      </c>
      <c r="G124" s="270">
        <f t="shared" si="35"/>
        <v>1.1</v>
      </c>
      <c r="H124" s="270">
        <f t="shared" si="38"/>
        <v>3.06</v>
      </c>
      <c r="I124" s="81">
        <f t="shared" si="39"/>
        <v>9.22</v>
      </c>
      <c r="J124" s="81">
        <f t="shared" si="40"/>
        <v>12.280000000000001</v>
      </c>
      <c r="K124" s="81">
        <f t="shared" si="36"/>
        <v>14.53</v>
      </c>
      <c r="L124" s="81">
        <f t="shared" si="37"/>
        <v>16.13</v>
      </c>
      <c r="M124" s="81">
        <f t="shared" si="41"/>
        <v>30.659999999999997</v>
      </c>
      <c r="N124" s="274"/>
      <c r="O124" s="275"/>
      <c r="P124" s="275"/>
    </row>
    <row r="125" spans="1:16" ht="15">
      <c r="A125" s="222">
        <v>99</v>
      </c>
      <c r="B125" s="425" t="str">
        <f t="shared" si="30"/>
        <v>TOBACCO CULTIVATOR 1-ROW</v>
      </c>
      <c r="C125" s="64">
        <f t="shared" si="31"/>
        <v>1406.5761253606759</v>
      </c>
      <c r="D125" s="80">
        <f t="shared" si="32"/>
        <v>0.56</v>
      </c>
      <c r="E125" s="80">
        <f t="shared" si="33"/>
        <v>1.08</v>
      </c>
      <c r="F125" s="80">
        <f t="shared" si="34"/>
        <v>1.6400000000000001</v>
      </c>
      <c r="G125" s="270">
        <f t="shared" si="35"/>
        <v>0.71</v>
      </c>
      <c r="H125" s="270">
        <f t="shared" si="38"/>
        <v>0.4</v>
      </c>
      <c r="I125" s="81">
        <f t="shared" si="39"/>
        <v>0.77</v>
      </c>
      <c r="J125" s="81">
        <f t="shared" si="40"/>
        <v>1.17</v>
      </c>
      <c r="K125" s="81">
        <f t="shared" si="36"/>
        <v>5.59</v>
      </c>
      <c r="L125" s="81">
        <f t="shared" si="37"/>
        <v>4.15</v>
      </c>
      <c r="M125" s="81">
        <f t="shared" si="41"/>
        <v>9.74</v>
      </c>
      <c r="N125" s="274"/>
      <c r="O125" s="275"/>
      <c r="P125" s="275"/>
    </row>
    <row r="126" spans="1:16" ht="15">
      <c r="A126" s="222">
        <v>99.1</v>
      </c>
      <c r="B126" s="425" t="str">
        <f>VLOOKUP(A126,Mach_Name,2)</f>
        <v>TOBACCO BEDDER 4-ROW</v>
      </c>
      <c r="C126" s="64">
        <f>VLOOKUP(A126,Mach_Name,5)</f>
        <v>6719.3</v>
      </c>
      <c r="D126" s="80">
        <f>ROUND(SUM(VLOOKUP(A126,Mach_Name,24)),2)</f>
        <v>2.67</v>
      </c>
      <c r="E126" s="80">
        <f>ROUND(SUM(VLOOKUP(A126,Mach_Name,20),VLOOKUP(A126,Mach_Name,21),VLOOKUP(A126,Mach_Name,22),VLOOKUP(A126,Mach_Name,23)),2)</f>
        <v>5.16</v>
      </c>
      <c r="F126" s="80">
        <f>D126+E126</f>
        <v>7.83</v>
      </c>
      <c r="G126" s="270">
        <f>ROUND(IF(VLOOKUP(A126,Mach_Name,9)="-","-",(1/((VLOOKUP(A126,Mach_Name,8)*VLOOKUP(A126,Mach_Name,9)*VLOOKUP(A126,Mach_Name,13))/8.25))),2)</f>
        <v>0.16</v>
      </c>
      <c r="H126" s="270">
        <f>ROUND(G126*D126,2)</f>
        <v>0.43</v>
      </c>
      <c r="I126" s="81">
        <f>ROUND(G126*E126,2)</f>
        <v>0.83</v>
      </c>
      <c r="J126" s="81">
        <f>H126+I126</f>
        <v>1.26</v>
      </c>
      <c r="K126" s="81">
        <f>ROUND(IF(VLOOKUP(A126,Mach_Name,7)="-",VLOOKUP(A126,Mach_Cost,8),(VLOOKUP(VLOOKUP(A126,Mach_Name,7),Mach_Cost,4)+VLOOKUP(A126,Mach_Cost,4))*VLOOKUP(A126,Mach_Cost,7)),2)</f>
        <v>1.6</v>
      </c>
      <c r="L126" s="81">
        <f>ROUND(IF(VLOOKUP(A126,Mach_Name,7)="-",VLOOKUP(A126,Mach_Cost,9),(VLOOKUP(VLOOKUP(A126,Mach_Name,7),Mach_Cost,5)+VLOOKUP(A126,Mach_Cost,5))*VLOOKUP(A126,Mach_Cost,7)),2)</f>
        <v>1.59</v>
      </c>
      <c r="M126" s="81">
        <f>K126+L126</f>
        <v>3.1900000000000004</v>
      </c>
      <c r="N126" s="274"/>
      <c r="O126" s="275"/>
      <c r="P126" s="275"/>
    </row>
    <row r="127" spans="1:16" ht="15">
      <c r="A127" s="222">
        <v>99.2</v>
      </c>
      <c r="B127" s="425" t="str">
        <f>VLOOKUP(A127,Mach_Name,2)</f>
        <v>TOBACCO BED SHAPER 4-ROW</v>
      </c>
      <c r="C127" s="64">
        <f>VLOOKUP(A127,Mach_Name,5)</f>
        <v>5133.87</v>
      </c>
      <c r="D127" s="80">
        <f>ROUND(SUM(VLOOKUP(A127,Mach_Name,24)),2)</f>
        <v>2.04</v>
      </c>
      <c r="E127" s="80">
        <f>ROUND(SUM(VLOOKUP(A127,Mach_Name,20),VLOOKUP(A127,Mach_Name,21),VLOOKUP(A127,Mach_Name,22),VLOOKUP(A127,Mach_Name,23)),2)</f>
        <v>3.95</v>
      </c>
      <c r="F127" s="80">
        <f>D127+E127</f>
        <v>5.99</v>
      </c>
      <c r="G127" s="270">
        <f>ROUND(IF(VLOOKUP(A127,Mach_Name,9)="-","-",(1/((VLOOKUP(A127,Mach_Name,8)*VLOOKUP(A127,Mach_Name,9)*VLOOKUP(A127,Mach_Name,13))/8.25))),2)</f>
        <v>0.16</v>
      </c>
      <c r="H127" s="270">
        <f>ROUND(G127*D127,2)</f>
        <v>0.33</v>
      </c>
      <c r="I127" s="81">
        <f>ROUND(G127*E127,2)</f>
        <v>0.63</v>
      </c>
      <c r="J127" s="81">
        <f>H127+I127</f>
        <v>0.96</v>
      </c>
      <c r="K127" s="81">
        <f>ROUND(IF(VLOOKUP(A127,Mach_Name,7)="-",VLOOKUP(A127,Mach_Cost,8),(VLOOKUP(VLOOKUP(A127,Mach_Name,7),Mach_Cost,4)+VLOOKUP(A127,Mach_Cost,4))*VLOOKUP(A127,Mach_Cost,7)),2)</f>
        <v>1.5</v>
      </c>
      <c r="L127" s="81">
        <f>ROUND(IF(VLOOKUP(A127,Mach_Name,7)="-",VLOOKUP(A127,Mach_Cost,9),(VLOOKUP(VLOOKUP(A127,Mach_Name,7),Mach_Cost,5)+VLOOKUP(A127,Mach_Cost,5))*VLOOKUP(A127,Mach_Cost,7)),2)</f>
        <v>1.4</v>
      </c>
      <c r="M127" s="81">
        <f>K127+L127</f>
        <v>2.9</v>
      </c>
      <c r="N127" s="274"/>
      <c r="O127" s="275"/>
      <c r="P127" s="275"/>
    </row>
    <row r="128" spans="1:16" ht="15">
      <c r="A128" s="222">
        <v>100</v>
      </c>
      <c r="B128" s="425" t="str">
        <f t="shared" si="30"/>
        <v>TOBACCO HARVESTER LOW PROFILE</v>
      </c>
      <c r="C128" s="64">
        <f t="shared" si="31"/>
        <v>15096.685734531051</v>
      </c>
      <c r="D128" s="80">
        <f t="shared" si="32"/>
        <v>2.19</v>
      </c>
      <c r="E128" s="80">
        <f t="shared" si="33"/>
        <v>18.58</v>
      </c>
      <c r="F128" s="80">
        <f t="shared" si="34"/>
        <v>20.77</v>
      </c>
      <c r="G128" s="270">
        <f t="shared" si="35"/>
        <v>2.95</v>
      </c>
      <c r="H128" s="270">
        <f t="shared" si="38"/>
        <v>6.46</v>
      </c>
      <c r="I128" s="81">
        <f t="shared" si="39"/>
        <v>54.81</v>
      </c>
      <c r="J128" s="81">
        <f t="shared" si="40"/>
        <v>61.27</v>
      </c>
      <c r="K128" s="81">
        <f t="shared" si="36"/>
        <v>28.03</v>
      </c>
      <c r="L128" s="81">
        <f t="shared" si="37"/>
        <v>68.88</v>
      </c>
      <c r="M128" s="81">
        <f t="shared" si="41"/>
        <v>96.91</v>
      </c>
      <c r="N128" s="274"/>
      <c r="O128" s="275"/>
      <c r="P128" s="275"/>
    </row>
    <row r="129" spans="1:16" ht="15">
      <c r="A129" s="222">
        <v>101</v>
      </c>
      <c r="B129" s="425" t="str">
        <f t="shared" si="30"/>
        <v>TOBACCO TOPPER 2-ROW</v>
      </c>
      <c r="C129" s="64">
        <f t="shared" si="31"/>
        <v>3562.817833349328</v>
      </c>
      <c r="D129" s="80">
        <f t="shared" si="32"/>
        <v>4.87</v>
      </c>
      <c r="E129" s="80">
        <f t="shared" si="33"/>
        <v>9.19</v>
      </c>
      <c r="F129" s="80">
        <f t="shared" si="34"/>
        <v>14.059999999999999</v>
      </c>
      <c r="G129" s="270">
        <f t="shared" si="35"/>
        <v>0.86</v>
      </c>
      <c r="H129" s="270">
        <f t="shared" si="38"/>
        <v>4.19</v>
      </c>
      <c r="I129" s="81">
        <f t="shared" si="39"/>
        <v>7.9</v>
      </c>
      <c r="J129" s="81">
        <f t="shared" si="40"/>
        <v>12.09</v>
      </c>
      <c r="K129" s="81">
        <f t="shared" si="36"/>
        <v>10.47</v>
      </c>
      <c r="L129" s="81">
        <f t="shared" si="37"/>
        <v>12.01</v>
      </c>
      <c r="M129" s="81">
        <f t="shared" si="41"/>
        <v>22.48</v>
      </c>
      <c r="N129" s="274"/>
      <c r="O129" s="275"/>
      <c r="P129" s="275"/>
    </row>
    <row r="130" spans="1:16" ht="15">
      <c r="A130" s="222">
        <v>101.1</v>
      </c>
      <c r="B130" s="425" t="str">
        <f>VLOOKUP(A130,Mach_Name,2)</f>
        <v>TOBACCO TOPPER 4-ROW</v>
      </c>
      <c r="C130" s="64">
        <f>VLOOKUP(A130,Mach_Name,5)</f>
        <v>5790.55</v>
      </c>
      <c r="D130" s="80">
        <f>ROUND(SUM(VLOOKUP(A130,Mach_Name,24)),2)</f>
        <v>7.92</v>
      </c>
      <c r="E130" s="80">
        <f>ROUND(SUM(VLOOKUP(A130,Mach_Name,20),VLOOKUP(A130,Mach_Name,21),VLOOKUP(A130,Mach_Name,22),VLOOKUP(A130,Mach_Name,23)),2)</f>
        <v>14.93</v>
      </c>
      <c r="F130" s="80">
        <f>D130+E130</f>
        <v>22.85</v>
      </c>
      <c r="G130" s="270">
        <f>ROUND(IF(VLOOKUP(A130,Mach_Name,9)="-","-",(1/((VLOOKUP(A130,Mach_Name,8)*VLOOKUP(A130,Mach_Name,9)*VLOOKUP(A130,Mach_Name,13))/8.25))),2)</f>
        <v>0.49</v>
      </c>
      <c r="H130" s="270">
        <f>ROUND(G130*D130,2)</f>
        <v>3.88</v>
      </c>
      <c r="I130" s="81">
        <f>ROUND(G130*E130,2)</f>
        <v>7.32</v>
      </c>
      <c r="J130" s="81">
        <f>H130+I130</f>
        <v>11.2</v>
      </c>
      <c r="K130" s="81">
        <f>ROUND(IF(VLOOKUP(A130,Mach_Name,7)="-",VLOOKUP(A130,Mach_Cost,8),(VLOOKUP(VLOOKUP(A130,Mach_Name,7),Mach_Cost,4)+VLOOKUP(A130,Mach_Cost,4))*VLOOKUP(A130,Mach_Cost,7)),2)</f>
        <v>8.99</v>
      </c>
      <c r="L130" s="81">
        <f>ROUND(IF(VLOOKUP(A130,Mach_Name,7)="-",VLOOKUP(A130,Mach_Cost,9),(VLOOKUP(VLOOKUP(A130,Mach_Name,7),Mach_Cost,5)+VLOOKUP(A130,Mach_Cost,5))*VLOOKUP(A130,Mach_Cost,7)),2)</f>
        <v>10.39</v>
      </c>
      <c r="M130" s="81">
        <f>K130+L130</f>
        <v>19.380000000000003</v>
      </c>
      <c r="N130" s="274"/>
      <c r="O130" s="275"/>
      <c r="P130" s="275"/>
    </row>
    <row r="131" spans="1:16" ht="15">
      <c r="A131" s="222">
        <v>102</v>
      </c>
      <c r="B131" s="425" t="str">
        <f t="shared" si="30"/>
        <v>TOBACCO TRAILER</v>
      </c>
      <c r="C131" s="64">
        <f t="shared" si="31"/>
        <v>1207.7348587624838</v>
      </c>
      <c r="D131" s="80">
        <f t="shared" si="32"/>
        <v>0.64</v>
      </c>
      <c r="E131" s="80">
        <f t="shared" si="33"/>
        <v>0.83</v>
      </c>
      <c r="F131" s="80">
        <f t="shared" si="34"/>
        <v>1.47</v>
      </c>
      <c r="G131" s="270">
        <f t="shared" si="35"/>
        <v>2.58</v>
      </c>
      <c r="H131" s="270">
        <f t="shared" si="38"/>
        <v>1.65</v>
      </c>
      <c r="I131" s="81">
        <f t="shared" si="39"/>
        <v>2.14</v>
      </c>
      <c r="J131" s="81">
        <f t="shared" si="40"/>
        <v>3.79</v>
      </c>
      <c r="K131" s="81">
        <f t="shared" si="36"/>
        <v>7.89</v>
      </c>
      <c r="L131" s="81">
        <f t="shared" si="37"/>
        <v>10.47</v>
      </c>
      <c r="M131" s="81">
        <f t="shared" si="41"/>
        <v>18.36</v>
      </c>
      <c r="N131" s="274"/>
      <c r="O131" s="275"/>
      <c r="P131" s="275"/>
    </row>
    <row r="132" spans="1:16" ht="15">
      <c r="A132" s="222">
        <v>103</v>
      </c>
      <c r="B132" s="425" t="str">
        <f t="shared" si="30"/>
        <v>TOBACCO TRANSPLANTER 1-ROW</v>
      </c>
      <c r="C132" s="64">
        <f t="shared" si="31"/>
        <v>3502.4310904112035</v>
      </c>
      <c r="D132" s="80">
        <f t="shared" si="32"/>
        <v>2.62</v>
      </c>
      <c r="E132" s="80">
        <f t="shared" si="33"/>
        <v>2.78</v>
      </c>
      <c r="F132" s="80">
        <f t="shared" si="34"/>
        <v>5.4</v>
      </c>
      <c r="G132" s="270">
        <f t="shared" si="35"/>
        <v>3.08</v>
      </c>
      <c r="H132" s="270">
        <f t="shared" si="38"/>
        <v>8.07</v>
      </c>
      <c r="I132" s="81">
        <f t="shared" si="39"/>
        <v>8.56</v>
      </c>
      <c r="J132" s="81">
        <f t="shared" si="40"/>
        <v>16.630000000000003</v>
      </c>
      <c r="K132" s="81">
        <f t="shared" si="36"/>
        <v>40.19</v>
      </c>
      <c r="L132" s="81">
        <f t="shared" si="37"/>
        <v>27.9</v>
      </c>
      <c r="M132" s="81">
        <f t="shared" si="41"/>
        <v>68.09</v>
      </c>
      <c r="N132" s="274"/>
      <c r="O132" s="275"/>
      <c r="P132" s="275"/>
    </row>
    <row r="133" spans="1:16" ht="15">
      <c r="A133" s="222">
        <v>104</v>
      </c>
      <c r="B133" s="425" t="str">
        <f t="shared" si="30"/>
        <v>TOBACCO TRANSPLANTER 2-ROW</v>
      </c>
      <c r="C133" s="64">
        <f t="shared" si="31"/>
        <v>5615.967093245552</v>
      </c>
      <c r="D133" s="80">
        <f t="shared" si="32"/>
        <v>4.19</v>
      </c>
      <c r="E133" s="80">
        <f t="shared" si="33"/>
        <v>4.46</v>
      </c>
      <c r="F133" s="80">
        <f t="shared" si="34"/>
        <v>8.65</v>
      </c>
      <c r="G133" s="270">
        <f t="shared" si="35"/>
        <v>1.54</v>
      </c>
      <c r="H133" s="270">
        <f t="shared" si="38"/>
        <v>6.45</v>
      </c>
      <c r="I133" s="81">
        <f t="shared" si="39"/>
        <v>6.87</v>
      </c>
      <c r="J133" s="81">
        <f t="shared" si="40"/>
        <v>13.32</v>
      </c>
      <c r="K133" s="81">
        <f t="shared" si="36"/>
        <v>29.85</v>
      </c>
      <c r="L133" s="81">
        <f t="shared" si="37"/>
        <v>21.81</v>
      </c>
      <c r="M133" s="81">
        <f t="shared" si="41"/>
        <v>51.66</v>
      </c>
      <c r="N133" s="274"/>
      <c r="O133" s="275"/>
      <c r="P133" s="275"/>
    </row>
    <row r="134" spans="1:16" ht="15">
      <c r="A134" s="222">
        <v>104.1</v>
      </c>
      <c r="B134" s="425" t="str">
        <f>VLOOKUP(A134,Mach_Name,2)</f>
        <v>TOBACCO TRANSPLANTER 4-ROW</v>
      </c>
      <c r="C134" s="64">
        <f>VLOOKUP(A134,Mach_Name,5)</f>
        <v>7281.5</v>
      </c>
      <c r="D134" s="80">
        <f>ROUND(SUM(VLOOKUP(A134,Mach_Name,24)),2)</f>
        <v>5.44</v>
      </c>
      <c r="E134" s="80">
        <f>ROUND(SUM(VLOOKUP(A134,Mach_Name,20),VLOOKUP(A134,Mach_Name,21),VLOOKUP(A134,Mach_Name,22),VLOOKUP(A134,Mach_Name,23)),2)</f>
        <v>5.79</v>
      </c>
      <c r="F134" s="80">
        <f>D134+E134</f>
        <v>11.23</v>
      </c>
      <c r="G134" s="270">
        <f>ROUND(IF(VLOOKUP(A134,Mach_Name,9)="-","-",(1/((VLOOKUP(A134,Mach_Name,8)*VLOOKUP(A134,Mach_Name,9)*VLOOKUP(A134,Mach_Name,13))/8.25))),2)</f>
        <v>0.88</v>
      </c>
      <c r="H134" s="270">
        <f>ROUND(G134*D134,2)</f>
        <v>4.79</v>
      </c>
      <c r="I134" s="81">
        <f>ROUND(G134*E134,2)</f>
        <v>5.1</v>
      </c>
      <c r="J134" s="81">
        <f>H134+I134</f>
        <v>9.89</v>
      </c>
      <c r="K134" s="81">
        <f>ROUND(IF(VLOOKUP(A134,Mach_Name,7)="-",VLOOKUP(A134,Mach_Cost,8),(VLOOKUP(VLOOKUP(A134,Mach_Name,7),Mach_Cost,4)+VLOOKUP(A134,Mach_Cost,4))*VLOOKUP(A134,Mach_Cost,7)),2)</f>
        <v>20.75</v>
      </c>
      <c r="L134" s="81">
        <f>ROUND(IF(VLOOKUP(A134,Mach_Name,7)="-",VLOOKUP(A134,Mach_Cost,9),(VLOOKUP(VLOOKUP(A134,Mach_Name,7),Mach_Cost,5)+VLOOKUP(A134,Mach_Cost,5))*VLOOKUP(A134,Mach_Cost,7)),2)</f>
        <v>15.12</v>
      </c>
      <c r="M134" s="81">
        <f>K134+L134</f>
        <v>35.87</v>
      </c>
      <c r="N134" s="274"/>
      <c r="O134" s="275"/>
      <c r="P134" s="275"/>
    </row>
    <row r="135" spans="1:16" ht="15">
      <c r="A135" s="222">
        <v>105</v>
      </c>
      <c r="B135" s="425" t="str">
        <f t="shared" si="30"/>
        <v>TOMATO TRANSPLANTER 3-ROW</v>
      </c>
      <c r="C135" s="64">
        <f t="shared" si="31"/>
        <v>9058.01144071863</v>
      </c>
      <c r="D135" s="80">
        <f t="shared" si="32"/>
        <v>1.89</v>
      </c>
      <c r="E135" s="80">
        <f t="shared" si="33"/>
        <v>13.92</v>
      </c>
      <c r="F135" s="80">
        <f t="shared" si="34"/>
        <v>15.81</v>
      </c>
      <c r="G135" s="270">
        <f t="shared" si="35"/>
        <v>1.38</v>
      </c>
      <c r="H135" s="270">
        <f t="shared" si="38"/>
        <v>2.61</v>
      </c>
      <c r="I135" s="81">
        <f t="shared" si="39"/>
        <v>19.21</v>
      </c>
      <c r="J135" s="81">
        <f t="shared" si="40"/>
        <v>21.82</v>
      </c>
      <c r="K135" s="81">
        <f t="shared" si="36"/>
        <v>17</v>
      </c>
      <c r="L135" s="81">
        <f t="shared" si="37"/>
        <v>27.88</v>
      </c>
      <c r="M135" s="81">
        <f t="shared" si="41"/>
        <v>44.879999999999995</v>
      </c>
      <c r="N135" s="274"/>
      <c r="O135" s="275"/>
      <c r="P135" s="275"/>
    </row>
    <row r="136" spans="1:16" ht="15">
      <c r="A136" s="222">
        <v>106</v>
      </c>
      <c r="B136" s="425" t="str">
        <f t="shared" si="30"/>
        <v>TRACTOR MTD SPRAYER</v>
      </c>
      <c r="C136" s="64">
        <f t="shared" si="31"/>
        <v>3509.96665401026</v>
      </c>
      <c r="D136" s="80">
        <f t="shared" si="32"/>
        <v>2.06</v>
      </c>
      <c r="E136" s="80">
        <f t="shared" si="33"/>
        <v>5.06</v>
      </c>
      <c r="F136" s="80">
        <f t="shared" si="34"/>
        <v>7.119999999999999</v>
      </c>
      <c r="G136" s="270">
        <f t="shared" si="35"/>
        <v>0.16</v>
      </c>
      <c r="H136" s="270">
        <f t="shared" si="38"/>
        <v>0.33</v>
      </c>
      <c r="I136" s="81">
        <f t="shared" si="39"/>
        <v>0.81</v>
      </c>
      <c r="J136" s="81">
        <f t="shared" si="40"/>
        <v>1.1400000000000001</v>
      </c>
      <c r="K136" s="81">
        <f t="shared" si="36"/>
        <v>1.5</v>
      </c>
      <c r="L136" s="81">
        <f t="shared" si="37"/>
        <v>1.57</v>
      </c>
      <c r="M136" s="81">
        <f t="shared" si="41"/>
        <v>3.0700000000000003</v>
      </c>
      <c r="N136" s="274"/>
      <c r="O136" s="275"/>
      <c r="P136" s="275"/>
    </row>
    <row r="137" spans="1:16" ht="15">
      <c r="A137" s="222">
        <v>107</v>
      </c>
      <c r="B137" s="425" t="str">
        <f t="shared" si="30"/>
        <v>TRACTOR MTD SPRAYER &amp; FERT.</v>
      </c>
      <c r="C137" s="64">
        <f t="shared" si="31"/>
        <v>4548.40625170447</v>
      </c>
      <c r="D137" s="80">
        <f t="shared" si="32"/>
        <v>2.66</v>
      </c>
      <c r="E137" s="80">
        <f t="shared" si="33"/>
        <v>6.55</v>
      </c>
      <c r="F137" s="80">
        <f t="shared" si="34"/>
        <v>9.21</v>
      </c>
      <c r="G137" s="270">
        <f t="shared" si="35"/>
        <v>0.16</v>
      </c>
      <c r="H137" s="270">
        <f t="shared" si="38"/>
        <v>0.43</v>
      </c>
      <c r="I137" s="81">
        <f t="shared" si="39"/>
        <v>1.05</v>
      </c>
      <c r="J137" s="81">
        <f t="shared" si="40"/>
        <v>1.48</v>
      </c>
      <c r="K137" s="81">
        <f t="shared" si="36"/>
        <v>1.6</v>
      </c>
      <c r="L137" s="81">
        <f t="shared" si="37"/>
        <v>1.81</v>
      </c>
      <c r="M137" s="81">
        <f t="shared" si="41"/>
        <v>3.41</v>
      </c>
      <c r="N137" s="274"/>
      <c r="O137" s="275"/>
      <c r="P137" s="275"/>
    </row>
    <row r="138" spans="1:16" ht="15">
      <c r="A138" s="222">
        <v>108</v>
      </c>
      <c r="B138" s="425" t="str">
        <f t="shared" si="30"/>
        <v>TRAILER 4W</v>
      </c>
      <c r="C138" s="64">
        <f t="shared" si="31"/>
        <v>2946.448293697411</v>
      </c>
      <c r="D138" s="80">
        <f t="shared" si="32"/>
        <v>1.44</v>
      </c>
      <c r="E138" s="80">
        <f t="shared" si="33"/>
        <v>6.75</v>
      </c>
      <c r="F138" s="80">
        <f t="shared" si="34"/>
        <v>8.19</v>
      </c>
      <c r="G138" s="270">
        <f t="shared" si="35"/>
        <v>0.14</v>
      </c>
      <c r="H138" s="270">
        <f t="shared" si="38"/>
        <v>0.2</v>
      </c>
      <c r="I138" s="81">
        <f t="shared" si="39"/>
        <v>0.95</v>
      </c>
      <c r="J138" s="81">
        <f t="shared" si="40"/>
        <v>1.15</v>
      </c>
      <c r="K138" s="81">
        <f t="shared" si="36"/>
        <v>1.23</v>
      </c>
      <c r="L138" s="81">
        <f t="shared" si="37"/>
        <v>1.61</v>
      </c>
      <c r="M138" s="81">
        <f t="shared" si="41"/>
        <v>2.84</v>
      </c>
      <c r="N138" s="274"/>
      <c r="O138" s="275"/>
      <c r="P138" s="275"/>
    </row>
    <row r="139" spans="1:16" ht="15">
      <c r="A139" s="222">
        <v>109</v>
      </c>
      <c r="B139" s="425" t="str">
        <f t="shared" si="30"/>
        <v>TRANSPLANTER 1-ROW</v>
      </c>
      <c r="C139" s="64">
        <f t="shared" si="31"/>
        <v>2173.922745772471</v>
      </c>
      <c r="D139" s="80">
        <f t="shared" si="32"/>
        <v>0.45</v>
      </c>
      <c r="E139" s="80">
        <f t="shared" si="33"/>
        <v>3.34</v>
      </c>
      <c r="F139" s="80">
        <f t="shared" si="34"/>
        <v>3.79</v>
      </c>
      <c r="G139" s="270">
        <f t="shared" si="35"/>
        <v>2.75</v>
      </c>
      <c r="H139" s="270">
        <f t="shared" si="38"/>
        <v>1.24</v>
      </c>
      <c r="I139" s="81">
        <f t="shared" si="39"/>
        <v>9.19</v>
      </c>
      <c r="J139" s="81">
        <f t="shared" si="40"/>
        <v>10.43</v>
      </c>
      <c r="K139" s="81">
        <f t="shared" si="36"/>
        <v>21.34</v>
      </c>
      <c r="L139" s="81">
        <f t="shared" si="37"/>
        <v>22.3</v>
      </c>
      <c r="M139" s="81">
        <f t="shared" si="41"/>
        <v>43.64</v>
      </c>
      <c r="N139" s="275"/>
      <c r="O139" s="275"/>
      <c r="P139" s="275"/>
    </row>
    <row r="140" spans="1:16" ht="15">
      <c r="A140" s="222">
        <v>110</v>
      </c>
      <c r="B140" s="425" t="str">
        <f t="shared" si="30"/>
        <v>TRANSPLANTER 2-ROW</v>
      </c>
      <c r="C140" s="64">
        <f t="shared" si="31"/>
        <v>3510.8852344225406</v>
      </c>
      <c r="D140" s="80">
        <f t="shared" si="32"/>
        <v>0.73</v>
      </c>
      <c r="E140" s="80">
        <f t="shared" si="33"/>
        <v>5.4</v>
      </c>
      <c r="F140" s="80">
        <f t="shared" si="34"/>
        <v>6.130000000000001</v>
      </c>
      <c r="G140" s="270">
        <f t="shared" si="35"/>
        <v>2.29</v>
      </c>
      <c r="H140" s="270">
        <f t="shared" si="38"/>
        <v>1.67</v>
      </c>
      <c r="I140" s="81">
        <f t="shared" si="39"/>
        <v>12.37</v>
      </c>
      <c r="J140" s="81">
        <f t="shared" si="40"/>
        <v>14.04</v>
      </c>
      <c r="K140" s="81">
        <f t="shared" si="36"/>
        <v>18.41</v>
      </c>
      <c r="L140" s="81">
        <f t="shared" si="37"/>
        <v>23.29</v>
      </c>
      <c r="M140" s="81">
        <f t="shared" si="41"/>
        <v>41.7</v>
      </c>
      <c r="N140" s="275"/>
      <c r="O140" s="275"/>
      <c r="P140" s="275"/>
    </row>
    <row r="141" spans="1:16" ht="15">
      <c r="A141" s="222">
        <v>111</v>
      </c>
      <c r="B141" s="425" t="str">
        <f aca="true" t="shared" si="42" ref="B141:B158">VLOOKUP(A141,Mach_Name,2)</f>
        <v>TRANSPLANTER 4-ROW</v>
      </c>
      <c r="C141" s="64">
        <f aca="true" t="shared" si="43" ref="C141:C157">VLOOKUP(A141,Mach_Name,5)</f>
        <v>11835.801615872342</v>
      </c>
      <c r="D141" s="80">
        <f aca="true" t="shared" si="44" ref="D141:D157">ROUND(SUM(VLOOKUP(A141,Mach_Name,24)),2)</f>
        <v>2.93</v>
      </c>
      <c r="E141" s="80">
        <f aca="true" t="shared" si="45" ref="E141:E157">ROUND(SUM(VLOOKUP(A141,Mach_Name,20),VLOOKUP(A141,Mach_Name,21),VLOOKUP(A141,Mach_Name,22),VLOOKUP(A141,Mach_Name,23)),2)</f>
        <v>13.64</v>
      </c>
      <c r="F141" s="80">
        <f t="shared" si="34"/>
        <v>16.57</v>
      </c>
      <c r="G141" s="270">
        <f aca="true" t="shared" si="46" ref="G141:G157">ROUND(IF(VLOOKUP(A141,Mach_Name,9)="-","-",(1/((VLOOKUP(A141,Mach_Name,8)*VLOOKUP(A141,Mach_Name,9)*VLOOKUP(A141,Mach_Name,13))/8.25))),2)</f>
        <v>1.38</v>
      </c>
      <c r="H141" s="270">
        <f t="shared" si="38"/>
        <v>4.04</v>
      </c>
      <c r="I141" s="81">
        <f t="shared" si="39"/>
        <v>18.82</v>
      </c>
      <c r="J141" s="81">
        <f t="shared" si="40"/>
        <v>22.86</v>
      </c>
      <c r="K141" s="81">
        <f aca="true" t="shared" si="47" ref="K141:K157">ROUND(IF(VLOOKUP(A141,Mach_Name,7)="-",VLOOKUP(A141,Mach_Cost,8),(VLOOKUP(VLOOKUP(A141,Mach_Name,7),Mach_Cost,4)+VLOOKUP(A141,Mach_Cost,4))*VLOOKUP(A141,Mach_Cost,7)),2)</f>
        <v>18.44</v>
      </c>
      <c r="L141" s="81">
        <f aca="true" t="shared" si="48" ref="L141:L157">ROUND(IF(VLOOKUP(A141,Mach_Name,7)="-",VLOOKUP(A141,Mach_Cost,9),(VLOOKUP(VLOOKUP(A141,Mach_Name,7),Mach_Cost,5)+VLOOKUP(A141,Mach_Cost,5))*VLOOKUP(A141,Mach_Cost,7)),2)</f>
        <v>27.49</v>
      </c>
      <c r="M141" s="81">
        <f t="shared" si="41"/>
        <v>45.93</v>
      </c>
      <c r="N141" s="275"/>
      <c r="O141" s="275"/>
      <c r="P141" s="275"/>
    </row>
    <row r="142" spans="1:16" ht="15">
      <c r="A142" s="222">
        <v>112</v>
      </c>
      <c r="B142" s="425" t="str">
        <f t="shared" si="42"/>
        <v>TRUCK 1.5 TON</v>
      </c>
      <c r="C142" s="64">
        <f t="shared" si="43"/>
        <v>36232.04576287452</v>
      </c>
      <c r="D142" s="80">
        <f t="shared" si="44"/>
        <v>2.42</v>
      </c>
      <c r="E142" s="80">
        <f t="shared" si="45"/>
        <v>3.23</v>
      </c>
      <c r="F142" s="80">
        <f t="shared" si="34"/>
        <v>5.65</v>
      </c>
      <c r="G142" s="270">
        <f t="shared" si="46"/>
        <v>0.23</v>
      </c>
      <c r="H142" s="270">
        <f t="shared" si="38"/>
        <v>0.56</v>
      </c>
      <c r="I142" s="81">
        <f t="shared" si="39"/>
        <v>0.74</v>
      </c>
      <c r="J142" s="81">
        <f t="shared" si="40"/>
        <v>1.3</v>
      </c>
      <c r="K142" s="81">
        <f t="shared" si="47"/>
        <v>0.56</v>
      </c>
      <c r="L142" s="81">
        <f t="shared" si="48"/>
        <v>0.74</v>
      </c>
      <c r="M142" s="81">
        <f t="shared" si="41"/>
        <v>1.3</v>
      </c>
      <c r="N142" s="275"/>
      <c r="O142" s="275"/>
      <c r="P142" s="275"/>
    </row>
    <row r="143" spans="1:16" ht="15">
      <c r="A143" s="222">
        <v>112.1</v>
      </c>
      <c r="B143" s="425" t="str">
        <f>VLOOKUP(A143,Mach_Name,2)</f>
        <v>DUMP TRUCK  12 TON</v>
      </c>
      <c r="C143" s="64">
        <f>VLOOKUP(A143,Mach_Name,5)</f>
        <v>50583.75</v>
      </c>
      <c r="D143" s="80">
        <f>ROUND(SUM(VLOOKUP(A143,Mach_Name,24)),2)</f>
        <v>9.48</v>
      </c>
      <c r="E143" s="80">
        <f>ROUND(SUM(VLOOKUP(A143,Mach_Name,20),VLOOKUP(A143,Mach_Name,21),VLOOKUP(A143,Mach_Name,22),VLOOKUP(A143,Mach_Name,23)),2)</f>
        <v>13.72</v>
      </c>
      <c r="F143" s="80">
        <f>D143+E143</f>
        <v>23.200000000000003</v>
      </c>
      <c r="G143" s="270">
        <f>ROUND(IF(VLOOKUP(A143,Mach_Name,9)="-","-",(1/((VLOOKUP(A143,Mach_Name,8)*VLOOKUP(A143,Mach_Name,9)*VLOOKUP(A143,Mach_Name,13))/8.25))),2)</f>
        <v>0.44</v>
      </c>
      <c r="H143" s="270">
        <f>ROUND(G143*D143,2)</f>
        <v>4.17</v>
      </c>
      <c r="I143" s="81">
        <f>ROUND(G143*E143,2)</f>
        <v>6.04</v>
      </c>
      <c r="J143" s="81">
        <f>H143+I143</f>
        <v>10.21</v>
      </c>
      <c r="K143" s="81">
        <f>ROUND(IF(VLOOKUP(A143,Mach_Name,7)="-",VLOOKUP(A143,Mach_Cost,8),(VLOOKUP(VLOOKUP(A143,Mach_Name,7),Mach_Cost,4)+VLOOKUP(A143,Mach_Cost,4))*VLOOKUP(A143,Mach_Cost,7)),2)</f>
        <v>4.17</v>
      </c>
      <c r="L143" s="81">
        <f>ROUND(IF(VLOOKUP(A143,Mach_Name,7)="-",VLOOKUP(A143,Mach_Cost,9),(VLOOKUP(VLOOKUP(A143,Mach_Name,7),Mach_Cost,5)+VLOOKUP(A143,Mach_Cost,5))*VLOOKUP(A143,Mach_Cost,7)),2)</f>
        <v>6.04</v>
      </c>
      <c r="M143" s="81">
        <f>K143+L143</f>
        <v>10.21</v>
      </c>
      <c r="N143" s="275"/>
      <c r="O143" s="275"/>
      <c r="P143" s="275"/>
    </row>
    <row r="144" spans="1:16" ht="15">
      <c r="A144" s="222">
        <v>113</v>
      </c>
      <c r="B144" s="425" t="str">
        <f t="shared" si="42"/>
        <v>WHIRL SEEDER</v>
      </c>
      <c r="C144" s="64">
        <f t="shared" si="43"/>
        <v>603.8674293812419</v>
      </c>
      <c r="D144" s="80">
        <f t="shared" si="44"/>
        <v>0.3</v>
      </c>
      <c r="E144" s="80">
        <f t="shared" si="45"/>
        <v>1.39</v>
      </c>
      <c r="F144" s="80">
        <f t="shared" si="34"/>
        <v>1.69</v>
      </c>
      <c r="G144" s="270">
        <f t="shared" si="46"/>
        <v>0.1</v>
      </c>
      <c r="H144" s="270">
        <f t="shared" si="38"/>
        <v>0.03</v>
      </c>
      <c r="I144" s="81">
        <f t="shared" si="39"/>
        <v>0.14</v>
      </c>
      <c r="J144" s="81">
        <f t="shared" si="40"/>
        <v>0.17</v>
      </c>
      <c r="K144" s="81">
        <f t="shared" si="47"/>
        <v>0.76</v>
      </c>
      <c r="L144" s="81">
        <f t="shared" si="48"/>
        <v>0.62</v>
      </c>
      <c r="M144" s="81">
        <f t="shared" si="41"/>
        <v>1.38</v>
      </c>
      <c r="N144" s="275"/>
      <c r="O144" s="275"/>
      <c r="P144" s="275"/>
    </row>
    <row r="145" spans="1:16" ht="15">
      <c r="A145" s="222">
        <v>114</v>
      </c>
      <c r="B145" s="425" t="str">
        <f t="shared" si="42"/>
        <v>WINDROWER</v>
      </c>
      <c r="C145" s="64">
        <f t="shared" si="43"/>
        <v>2807.379679193395</v>
      </c>
      <c r="D145" s="80">
        <f t="shared" si="44"/>
        <v>1.45</v>
      </c>
      <c r="E145" s="80">
        <f t="shared" si="45"/>
        <v>4.65</v>
      </c>
      <c r="F145" s="80">
        <f>D145+E145</f>
        <v>6.1000000000000005</v>
      </c>
      <c r="G145" s="270">
        <f t="shared" si="46"/>
        <v>0.17</v>
      </c>
      <c r="H145" s="270">
        <f t="shared" si="38"/>
        <v>0.25</v>
      </c>
      <c r="I145" s="81">
        <f t="shared" si="39"/>
        <v>0.79</v>
      </c>
      <c r="J145" s="81">
        <f>H145+I145</f>
        <v>1.04</v>
      </c>
      <c r="K145" s="81">
        <f t="shared" si="47"/>
        <v>1.49</v>
      </c>
      <c r="L145" s="81">
        <f t="shared" si="48"/>
        <v>1.6</v>
      </c>
      <c r="M145" s="81">
        <f>K145+L145</f>
        <v>3.09</v>
      </c>
      <c r="N145" s="275"/>
      <c r="O145" s="275"/>
      <c r="P145" s="275"/>
    </row>
    <row r="146" spans="1:16" ht="15">
      <c r="A146" s="222">
        <v>115</v>
      </c>
      <c r="B146" s="425" t="str">
        <f t="shared" si="42"/>
        <v>BROADCAST DEEP TILLAGE</v>
      </c>
      <c r="C146" s="64">
        <f t="shared" si="43"/>
        <v>12051.02918837607</v>
      </c>
      <c r="D146" s="80">
        <f t="shared" si="44"/>
        <v>6</v>
      </c>
      <c r="E146" s="80">
        <f t="shared" si="45"/>
        <v>12.49</v>
      </c>
      <c r="F146" s="80">
        <f t="shared" si="34"/>
        <v>18.490000000000002</v>
      </c>
      <c r="G146" s="270">
        <f t="shared" si="46"/>
        <v>0.24</v>
      </c>
      <c r="H146" s="270">
        <f t="shared" si="38"/>
        <v>1.44</v>
      </c>
      <c r="I146" s="81">
        <f t="shared" si="39"/>
        <v>3</v>
      </c>
      <c r="J146" s="81">
        <f t="shared" si="40"/>
        <v>4.4399999999999995</v>
      </c>
      <c r="K146" s="81">
        <f t="shared" si="47"/>
        <v>8.25</v>
      </c>
      <c r="L146" s="81">
        <f t="shared" si="48"/>
        <v>7.87</v>
      </c>
      <c r="M146" s="81">
        <f t="shared" si="41"/>
        <v>16.12</v>
      </c>
      <c r="N146" s="275"/>
      <c r="O146" s="275"/>
      <c r="P146" s="275"/>
    </row>
    <row r="147" spans="1:16" ht="15">
      <c r="A147" s="227">
        <v>116</v>
      </c>
      <c r="B147" s="425" t="str">
        <f t="shared" si="42"/>
        <v>COTTON MODULE BUILDER</v>
      </c>
      <c r="C147" s="64">
        <f t="shared" si="43"/>
        <v>24274.196376076783</v>
      </c>
      <c r="D147" s="80">
        <f t="shared" si="44"/>
        <v>8.43</v>
      </c>
      <c r="E147" s="80">
        <f t="shared" si="45"/>
        <v>10.18</v>
      </c>
      <c r="F147" s="80">
        <f t="shared" si="34"/>
        <v>18.61</v>
      </c>
      <c r="G147" s="270">
        <f t="shared" si="46"/>
        <v>0.11</v>
      </c>
      <c r="H147" s="270">
        <f t="shared" si="38"/>
        <v>0.93</v>
      </c>
      <c r="I147" s="81">
        <f t="shared" si="39"/>
        <v>1.12</v>
      </c>
      <c r="J147" s="81">
        <f t="shared" si="40"/>
        <v>2.0500000000000003</v>
      </c>
      <c r="K147" s="81">
        <f t="shared" si="47"/>
        <v>2.6</v>
      </c>
      <c r="L147" s="81">
        <f t="shared" si="48"/>
        <v>2.19</v>
      </c>
      <c r="M147" s="81">
        <f t="shared" si="41"/>
        <v>4.79</v>
      </c>
      <c r="N147" s="275"/>
      <c r="O147" s="275"/>
      <c r="P147" s="275"/>
    </row>
    <row r="148" spans="1:16" ht="15">
      <c r="A148" s="227">
        <v>117</v>
      </c>
      <c r="B148" s="425" t="str">
        <f t="shared" si="42"/>
        <v>TEDDER</v>
      </c>
      <c r="C148" s="64">
        <f t="shared" si="43"/>
        <v>5305.372769973441</v>
      </c>
      <c r="D148" s="80">
        <f t="shared" si="44"/>
        <v>1.58</v>
      </c>
      <c r="E148" s="80">
        <f t="shared" si="45"/>
        <v>8.15</v>
      </c>
      <c r="F148" s="80">
        <f t="shared" si="34"/>
        <v>9.73</v>
      </c>
      <c r="G148" s="270">
        <f t="shared" si="46"/>
        <v>0.25</v>
      </c>
      <c r="H148" s="270">
        <f t="shared" si="38"/>
        <v>0.4</v>
      </c>
      <c r="I148" s="81">
        <f t="shared" si="39"/>
        <v>2.04</v>
      </c>
      <c r="J148" s="81">
        <f t="shared" si="40"/>
        <v>2.44</v>
      </c>
      <c r="K148" s="81">
        <f t="shared" si="47"/>
        <v>2.22</v>
      </c>
      <c r="L148" s="81">
        <f t="shared" si="48"/>
        <v>3.23</v>
      </c>
      <c r="M148" s="81">
        <f t="shared" si="41"/>
        <v>5.45</v>
      </c>
      <c r="N148" s="275"/>
      <c r="O148" s="275"/>
      <c r="P148" s="275"/>
    </row>
    <row r="149" spans="1:16" ht="15">
      <c r="A149" s="227">
        <v>118</v>
      </c>
      <c r="B149" s="425" t="str">
        <f t="shared" si="42"/>
        <v>STRIP TILL RIG</v>
      </c>
      <c r="C149" s="64">
        <f t="shared" si="43"/>
        <v>22211.497890862098</v>
      </c>
      <c r="D149" s="80">
        <f t="shared" si="44"/>
        <v>11.06</v>
      </c>
      <c r="E149" s="80">
        <f t="shared" si="45"/>
        <v>23.03</v>
      </c>
      <c r="F149" s="80">
        <f t="shared" si="34"/>
        <v>34.09</v>
      </c>
      <c r="G149" s="270">
        <f t="shared" si="46"/>
        <v>0.31</v>
      </c>
      <c r="H149" s="270">
        <f t="shared" si="38"/>
        <v>3.43</v>
      </c>
      <c r="I149" s="81">
        <f t="shared" si="39"/>
        <v>7.14</v>
      </c>
      <c r="J149" s="81">
        <f t="shared" si="40"/>
        <v>10.57</v>
      </c>
      <c r="K149" s="81">
        <f t="shared" si="47"/>
        <v>5.69</v>
      </c>
      <c r="L149" s="81">
        <f t="shared" si="48"/>
        <v>8.62</v>
      </c>
      <c r="M149" s="81">
        <f t="shared" si="41"/>
        <v>14.309999999999999</v>
      </c>
      <c r="N149" s="275"/>
      <c r="O149" s="275"/>
      <c r="P149" s="275"/>
    </row>
    <row r="150" spans="1:16" ht="15">
      <c r="A150" s="227">
        <v>119</v>
      </c>
      <c r="B150" s="425" t="str">
        <f t="shared" si="42"/>
        <v>BUSHHOG 14'</v>
      </c>
      <c r="C150" s="64">
        <f t="shared" si="43"/>
        <v>8158.683956038196</v>
      </c>
      <c r="D150" s="80">
        <f t="shared" si="44"/>
        <v>2.47</v>
      </c>
      <c r="E150" s="80">
        <f t="shared" si="45"/>
        <v>9.4</v>
      </c>
      <c r="F150" s="80">
        <f t="shared" si="34"/>
        <v>11.870000000000001</v>
      </c>
      <c r="G150" s="270">
        <f t="shared" si="46"/>
        <v>0.15</v>
      </c>
      <c r="H150" s="270">
        <f t="shared" si="38"/>
        <v>0.37</v>
      </c>
      <c r="I150" s="81">
        <f t="shared" si="39"/>
        <v>1.41</v>
      </c>
      <c r="J150" s="81">
        <f t="shared" si="40"/>
        <v>1.7799999999999998</v>
      </c>
      <c r="K150" s="81">
        <f t="shared" si="47"/>
        <v>1.47</v>
      </c>
      <c r="L150" s="81">
        <f t="shared" si="48"/>
        <v>2.13</v>
      </c>
      <c r="M150" s="81">
        <f t="shared" si="41"/>
        <v>3.5999999999999996</v>
      </c>
      <c r="N150" s="275"/>
      <c r="O150" s="275"/>
      <c r="P150" s="275"/>
    </row>
    <row r="151" spans="1:16" ht="15">
      <c r="A151" s="227">
        <v>120</v>
      </c>
      <c r="B151" s="425" t="str">
        <f t="shared" si="42"/>
        <v>FLAIL MOWER</v>
      </c>
      <c r="C151" s="64">
        <f t="shared" si="43"/>
        <v>3532.6244618802657</v>
      </c>
      <c r="D151" s="80">
        <f t="shared" si="44"/>
        <v>1.07</v>
      </c>
      <c r="E151" s="80">
        <f t="shared" si="45"/>
        <v>4.07</v>
      </c>
      <c r="F151" s="80">
        <f t="shared" si="34"/>
        <v>5.140000000000001</v>
      </c>
      <c r="G151" s="270">
        <f t="shared" si="46"/>
        <v>0.49</v>
      </c>
      <c r="H151" s="270">
        <f t="shared" si="38"/>
        <v>0.52</v>
      </c>
      <c r="I151" s="81">
        <f t="shared" si="39"/>
        <v>1.99</v>
      </c>
      <c r="J151" s="81">
        <f t="shared" si="40"/>
        <v>2.51</v>
      </c>
      <c r="K151" s="81">
        <f t="shared" si="47"/>
        <v>4.11</v>
      </c>
      <c r="L151" s="81">
        <f t="shared" si="48"/>
        <v>4.33</v>
      </c>
      <c r="M151" s="81">
        <f t="shared" si="41"/>
        <v>8.440000000000001</v>
      </c>
      <c r="N151" s="275"/>
      <c r="O151" s="275"/>
      <c r="P151" s="275"/>
    </row>
    <row r="152" spans="1:16" ht="15">
      <c r="A152" s="227">
        <v>121</v>
      </c>
      <c r="B152" s="425" t="str">
        <f t="shared" si="42"/>
        <v>PLANTER W/ SPRAYER 8-ROW</v>
      </c>
      <c r="C152" s="64">
        <f t="shared" si="43"/>
        <v>24411.31527420029</v>
      </c>
      <c r="D152" s="80">
        <f t="shared" si="44"/>
        <v>7.19</v>
      </c>
      <c r="E152" s="80">
        <f t="shared" si="45"/>
        <v>25.31</v>
      </c>
      <c r="F152" s="80">
        <f t="shared" si="34"/>
        <v>32.5</v>
      </c>
      <c r="G152" s="270">
        <f t="shared" si="46"/>
        <v>0.12</v>
      </c>
      <c r="H152" s="270">
        <f t="shared" si="38"/>
        <v>0.86</v>
      </c>
      <c r="I152" s="81">
        <f t="shared" si="39"/>
        <v>3.04</v>
      </c>
      <c r="J152" s="81">
        <f t="shared" si="40"/>
        <v>3.9</v>
      </c>
      <c r="K152" s="81">
        <f t="shared" si="47"/>
        <v>3.4</v>
      </c>
      <c r="L152" s="81">
        <f t="shared" si="48"/>
        <v>4.62</v>
      </c>
      <c r="M152" s="81">
        <f t="shared" si="41"/>
        <v>8.02</v>
      </c>
      <c r="N152" s="275"/>
      <c r="O152" s="275"/>
      <c r="P152" s="275"/>
    </row>
    <row r="153" spans="1:16" ht="15">
      <c r="A153" s="227">
        <v>122</v>
      </c>
      <c r="B153" s="425" t="str">
        <f t="shared" si="42"/>
        <v>SUBSOILER-BEDDER 8-ROW</v>
      </c>
      <c r="C153" s="64">
        <f t="shared" si="43"/>
        <v>17346.06635043976</v>
      </c>
      <c r="D153" s="80">
        <f t="shared" si="44"/>
        <v>8.64</v>
      </c>
      <c r="E153" s="80">
        <f t="shared" si="45"/>
        <v>17.98</v>
      </c>
      <c r="F153" s="80">
        <f t="shared" si="34"/>
        <v>26.62</v>
      </c>
      <c r="G153" s="270">
        <f t="shared" si="46"/>
        <v>0.12</v>
      </c>
      <c r="H153" s="270">
        <f t="shared" si="38"/>
        <v>1.04</v>
      </c>
      <c r="I153" s="81">
        <f t="shared" si="39"/>
        <v>2.16</v>
      </c>
      <c r="J153" s="81">
        <f t="shared" si="40"/>
        <v>3.2</v>
      </c>
      <c r="K153" s="81">
        <f t="shared" si="47"/>
        <v>4.83</v>
      </c>
      <c r="L153" s="81">
        <f t="shared" si="48"/>
        <v>4.89</v>
      </c>
      <c r="M153" s="81">
        <f t="shared" si="41"/>
        <v>9.719999999999999</v>
      </c>
      <c r="N153" s="275"/>
      <c r="O153" s="275"/>
      <c r="P153" s="275"/>
    </row>
    <row r="154" spans="1:16" ht="15">
      <c r="A154" s="227">
        <v>123</v>
      </c>
      <c r="B154" s="425" t="str">
        <f t="shared" si="42"/>
        <v>DO-ALL FIELD CONDITIONER 8-ROW</v>
      </c>
      <c r="C154" s="64">
        <f t="shared" si="43"/>
        <v>9351.123038663563</v>
      </c>
      <c r="D154" s="80">
        <f t="shared" si="44"/>
        <v>2.97</v>
      </c>
      <c r="E154" s="80">
        <f t="shared" si="45"/>
        <v>6.8</v>
      </c>
      <c r="F154" s="80">
        <f t="shared" si="34"/>
        <v>9.77</v>
      </c>
      <c r="G154" s="270">
        <f t="shared" si="46"/>
        <v>0.09</v>
      </c>
      <c r="H154" s="270">
        <f t="shared" si="38"/>
        <v>0.27</v>
      </c>
      <c r="I154" s="81">
        <f t="shared" si="39"/>
        <v>0.61</v>
      </c>
      <c r="J154" s="81">
        <f t="shared" si="40"/>
        <v>0.88</v>
      </c>
      <c r="K154" s="81">
        <f t="shared" si="47"/>
        <v>2.17</v>
      </c>
      <c r="L154" s="81">
        <f t="shared" si="48"/>
        <v>1.8</v>
      </c>
      <c r="M154" s="81">
        <f t="shared" si="41"/>
        <v>3.9699999999999998</v>
      </c>
      <c r="N154" s="78"/>
      <c r="O154" s="90"/>
      <c r="P154" s="90"/>
    </row>
    <row r="155" spans="1:16" ht="15">
      <c r="A155" s="227">
        <v>124</v>
      </c>
      <c r="B155" s="425" t="str">
        <f t="shared" si="42"/>
        <v>BOLL BUGGY</v>
      </c>
      <c r="C155" s="64">
        <f t="shared" si="43"/>
        <v>18439.501382717423</v>
      </c>
      <c r="D155" s="80">
        <f t="shared" si="44"/>
        <v>9.72</v>
      </c>
      <c r="E155" s="80">
        <f t="shared" si="45"/>
        <v>12.69</v>
      </c>
      <c r="F155" s="80">
        <f t="shared" si="34"/>
        <v>22.41</v>
      </c>
      <c r="G155" s="270">
        <f t="shared" si="46"/>
        <v>0.34</v>
      </c>
      <c r="H155" s="270">
        <f t="shared" si="38"/>
        <v>3.3</v>
      </c>
      <c r="I155" s="81">
        <f t="shared" si="39"/>
        <v>4.31</v>
      </c>
      <c r="J155" s="81">
        <f t="shared" si="40"/>
        <v>7.609999999999999</v>
      </c>
      <c r="K155" s="81">
        <f t="shared" si="47"/>
        <v>5.79</v>
      </c>
      <c r="L155" s="81">
        <f t="shared" si="48"/>
        <v>5.94</v>
      </c>
      <c r="M155" s="81">
        <f t="shared" si="41"/>
        <v>11.73</v>
      </c>
      <c r="N155" s="78"/>
      <c r="O155" s="90"/>
      <c r="P155" s="90"/>
    </row>
    <row r="156" spans="1:16" ht="15">
      <c r="A156" s="227">
        <v>125</v>
      </c>
      <c r="B156" s="425" t="str">
        <f t="shared" si="42"/>
        <v>FARM WAGON</v>
      </c>
      <c r="C156" s="64">
        <f t="shared" si="43"/>
        <v>3529.38763218455</v>
      </c>
      <c r="D156" s="80">
        <f t="shared" si="44"/>
        <v>2.87</v>
      </c>
      <c r="E156" s="80">
        <f t="shared" si="45"/>
        <v>7.97</v>
      </c>
      <c r="F156" s="80">
        <f>D156+E156</f>
        <v>10.84</v>
      </c>
      <c r="G156" s="270">
        <f t="shared" si="46"/>
        <v>0.15</v>
      </c>
      <c r="H156" s="270">
        <f>ROUND(G156*D156,2)</f>
        <v>0.43</v>
      </c>
      <c r="I156" s="81">
        <f>ROUND(G156*E156,2)</f>
        <v>1.2</v>
      </c>
      <c r="J156" s="81">
        <f>H156+I156</f>
        <v>1.63</v>
      </c>
      <c r="K156" s="81">
        <f t="shared" si="47"/>
        <v>2</v>
      </c>
      <c r="L156" s="81">
        <f t="shared" si="48"/>
        <v>2.14</v>
      </c>
      <c r="M156" s="81">
        <f>K156+L156</f>
        <v>4.140000000000001</v>
      </c>
      <c r="N156" s="275"/>
      <c r="O156" s="275"/>
      <c r="P156" s="275"/>
    </row>
    <row r="157" spans="1:16" ht="15">
      <c r="A157" s="222">
        <v>126</v>
      </c>
      <c r="B157" s="425" t="str">
        <f t="shared" si="42"/>
        <v>CULTIVATOR W/ HERBICIDE 8-ROW</v>
      </c>
      <c r="C157" s="64">
        <f t="shared" si="43"/>
        <v>7737.808573502167</v>
      </c>
      <c r="D157" s="80">
        <f t="shared" si="44"/>
        <v>2.22</v>
      </c>
      <c r="E157" s="80">
        <f t="shared" si="45"/>
        <v>8.92</v>
      </c>
      <c r="F157" s="80">
        <f>D157+E157</f>
        <v>11.14</v>
      </c>
      <c r="G157" s="270">
        <f t="shared" si="46"/>
        <v>0.1</v>
      </c>
      <c r="H157" s="270">
        <f>ROUND(G157*D157,2)</f>
        <v>0.22</v>
      </c>
      <c r="I157" s="81">
        <f>ROUND(G157*E157,2)</f>
        <v>0.89</v>
      </c>
      <c r="J157" s="81">
        <f>H157+I157</f>
        <v>1.11</v>
      </c>
      <c r="K157" s="81">
        <f t="shared" si="47"/>
        <v>1.74</v>
      </c>
      <c r="L157" s="81">
        <f t="shared" si="48"/>
        <v>1.86</v>
      </c>
      <c r="M157" s="81">
        <f>K157+L157</f>
        <v>3.6</v>
      </c>
      <c r="N157" s="275"/>
      <c r="O157" s="275"/>
      <c r="P157" s="275"/>
    </row>
    <row r="158" spans="1:16" ht="15">
      <c r="A158" s="222">
        <v>127</v>
      </c>
      <c r="B158" s="425" t="str">
        <f t="shared" si="42"/>
        <v>FRONT-END LOADER</v>
      </c>
      <c r="C158" s="64">
        <f>VLOOKUP(A158,Mach_Name,5)</f>
        <v>6386.257496214751</v>
      </c>
      <c r="D158" s="80">
        <f>ROUND(SUM(VLOOKUP(A158,Mach_Name,24)),2)</f>
        <v>2.2</v>
      </c>
      <c r="E158" s="80">
        <f>ROUND(SUM(VLOOKUP(A158,Mach_Name,20),VLOOKUP(A158,Mach_Name,21),VLOOKUP(A158,Mach_Name,22),VLOOKUP(A158,Mach_Name,23)),2)</f>
        <v>6.77</v>
      </c>
      <c r="F158" s="80">
        <f>D158+E158</f>
        <v>8.969999999999999</v>
      </c>
      <c r="G158" s="270">
        <f>ROUND(IF(VLOOKUP(A158,Mach_Name,9)="-","-",(1/((VLOOKUP(A158,Mach_Name,8)*VLOOKUP(A158,Mach_Name,9)*VLOOKUP(A158,Mach_Name,13))/8.25))),2)</f>
        <v>0.19</v>
      </c>
      <c r="H158" s="270">
        <f>ROUND(G158*D158,2)</f>
        <v>0.42</v>
      </c>
      <c r="I158" s="81">
        <f>ROUND(G158*E158,2)</f>
        <v>1.29</v>
      </c>
      <c r="J158" s="81">
        <f>H158+I158</f>
        <v>1.71</v>
      </c>
      <c r="K158" s="81">
        <f>ROUND(IF(VLOOKUP(A158,Mach_Name,7)="-",VLOOKUP(A158,Mach_Cost,8),(VLOOKUP(VLOOKUP(A158,Mach_Name,7),Mach_Cost,4)+VLOOKUP(A158,Mach_Cost,4))*VLOOKUP(A158,Mach_Cost,7)),2)</f>
        <v>1.81</v>
      </c>
      <c r="L158" s="81">
        <f>ROUND(IF(VLOOKUP(A158,Mach_Name,7)="-",VLOOKUP(A158,Mach_Cost,9),(VLOOKUP(VLOOKUP(A158,Mach_Name,7),Mach_Cost,5)+VLOOKUP(A158,Mach_Cost,5))*VLOOKUP(A158,Mach_Cost,7)),2)</f>
        <v>2.19</v>
      </c>
      <c r="M158" s="81">
        <f>K158+L158</f>
        <v>4</v>
      </c>
      <c r="N158" s="275"/>
      <c r="O158" s="275"/>
      <c r="P158" s="275"/>
    </row>
    <row r="159" spans="1:16" ht="15">
      <c r="A159" s="276"/>
      <c r="B159" s="84"/>
      <c r="C159" s="85"/>
      <c r="D159" s="86"/>
      <c r="E159" s="86"/>
      <c r="F159" s="86"/>
      <c r="G159" s="86"/>
      <c r="H159" s="86"/>
      <c r="I159" s="87"/>
      <c r="J159" s="86"/>
      <c r="K159" s="86"/>
      <c r="L159" s="86"/>
      <c r="M159" s="86"/>
      <c r="N159" s="275"/>
      <c r="O159" s="275"/>
      <c r="P159" s="275"/>
    </row>
    <row r="160" spans="1:16" ht="15">
      <c r="A160" s="276"/>
      <c r="B160" s="84"/>
      <c r="C160" s="85"/>
      <c r="D160" s="86"/>
      <c r="E160" s="86"/>
      <c r="F160" s="86"/>
      <c r="G160" s="86"/>
      <c r="H160" s="86"/>
      <c r="I160" s="87"/>
      <c r="J160" s="86"/>
      <c r="K160" s="86"/>
      <c r="L160" s="86"/>
      <c r="M160" s="86"/>
      <c r="N160" s="275"/>
      <c r="O160" s="275"/>
      <c r="P160" s="275"/>
    </row>
    <row r="161" spans="1:16" ht="15">
      <c r="A161" s="276"/>
      <c r="B161" s="84"/>
      <c r="C161" s="85"/>
      <c r="D161" s="86"/>
      <c r="E161" s="86"/>
      <c r="F161" s="86"/>
      <c r="G161" s="86"/>
      <c r="H161" s="86"/>
      <c r="I161" s="87"/>
      <c r="J161" s="86"/>
      <c r="K161" s="86"/>
      <c r="L161" s="86"/>
      <c r="M161" s="86"/>
      <c r="N161" s="275"/>
      <c r="O161" s="275"/>
      <c r="P161" s="275"/>
    </row>
    <row r="162" spans="1:16" ht="15">
      <c r="A162" s="276"/>
      <c r="B162" s="84"/>
      <c r="C162" s="85"/>
      <c r="D162" s="86"/>
      <c r="E162" s="86"/>
      <c r="F162" s="86"/>
      <c r="G162" s="86"/>
      <c r="H162" s="86"/>
      <c r="I162" s="87"/>
      <c r="J162" s="86"/>
      <c r="K162" s="86"/>
      <c r="L162" s="86"/>
      <c r="M162" s="86"/>
      <c r="N162" s="275"/>
      <c r="O162" s="275"/>
      <c r="P162" s="275"/>
    </row>
    <row r="163" spans="1:16" ht="15">
      <c r="A163" s="276"/>
      <c r="B163" s="84"/>
      <c r="C163" s="85"/>
      <c r="D163" s="86"/>
      <c r="E163" s="86"/>
      <c r="F163" s="86"/>
      <c r="G163" s="86"/>
      <c r="H163" s="86"/>
      <c r="I163" s="87"/>
      <c r="J163" s="86"/>
      <c r="K163" s="86"/>
      <c r="L163" s="86"/>
      <c r="M163" s="86"/>
      <c r="N163" s="275"/>
      <c r="O163" s="275"/>
      <c r="P163" s="275"/>
    </row>
    <row r="164" spans="1:16" ht="15">
      <c r="A164" s="276"/>
      <c r="B164" s="84"/>
      <c r="C164" s="85"/>
      <c r="D164" s="86"/>
      <c r="E164" s="86"/>
      <c r="F164" s="86"/>
      <c r="G164" s="86"/>
      <c r="H164" s="86"/>
      <c r="I164" s="87"/>
      <c r="J164" s="86"/>
      <c r="K164" s="86"/>
      <c r="L164" s="86"/>
      <c r="M164" s="86"/>
      <c r="N164" s="275"/>
      <c r="O164" s="275"/>
      <c r="P164" s="275"/>
    </row>
    <row r="165" spans="1:16" ht="15">
      <c r="A165" s="276"/>
      <c r="B165" s="84"/>
      <c r="C165" s="85"/>
      <c r="D165" s="86"/>
      <c r="E165" s="86"/>
      <c r="F165" s="86"/>
      <c r="G165" s="86"/>
      <c r="H165" s="86"/>
      <c r="I165" s="87"/>
      <c r="J165" s="86"/>
      <c r="K165" s="86"/>
      <c r="L165" s="86"/>
      <c r="M165" s="86"/>
      <c r="N165" s="275"/>
      <c r="O165" s="275"/>
      <c r="P165" s="275"/>
    </row>
    <row r="166" spans="1:16" ht="15">
      <c r="A166" s="276"/>
      <c r="B166" s="84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275"/>
      <c r="O166" s="275"/>
      <c r="P166" s="275"/>
    </row>
    <row r="167" spans="1:16" ht="15">
      <c r="A167" s="276"/>
      <c r="B167" s="84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275"/>
      <c r="O167" s="275"/>
      <c r="P167" s="275"/>
    </row>
    <row r="168" spans="1:16" ht="15">
      <c r="A168" s="276"/>
      <c r="B168" s="84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275"/>
      <c r="O168" s="275"/>
      <c r="P168" s="275"/>
    </row>
    <row r="169" spans="1:16" ht="15">
      <c r="A169" s="276"/>
      <c r="B169" s="84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275"/>
      <c r="O169" s="275"/>
      <c r="P169" s="275"/>
    </row>
    <row r="170" spans="1:16" ht="15">
      <c r="A170" s="276"/>
      <c r="B170" s="84"/>
      <c r="C170" s="85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275"/>
      <c r="O170" s="275"/>
      <c r="P170" s="275"/>
    </row>
    <row r="171" spans="1:16" ht="15">
      <c r="A171" s="276"/>
      <c r="B171" s="84"/>
      <c r="C171" s="85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275"/>
      <c r="O171" s="275"/>
      <c r="P171" s="275"/>
    </row>
    <row r="172" spans="1:16" ht="15">
      <c r="A172" s="276"/>
      <c r="B172" s="84"/>
      <c r="C172" s="85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275"/>
      <c r="O172" s="275"/>
      <c r="P172" s="275"/>
    </row>
    <row r="173" spans="1:16" ht="15">
      <c r="A173" s="276"/>
      <c r="B173" s="84"/>
      <c r="C173" s="85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275"/>
      <c r="O173" s="275"/>
      <c r="P173" s="275"/>
    </row>
    <row r="174" spans="1:16" ht="15">
      <c r="A174" s="276"/>
      <c r="B174" s="84"/>
      <c r="C174" s="85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275"/>
      <c r="O174" s="275"/>
      <c r="P174" s="275"/>
    </row>
    <row r="175" spans="1:16" ht="15">
      <c r="A175" s="276"/>
      <c r="B175" s="84"/>
      <c r="C175" s="85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275"/>
      <c r="O175" s="275"/>
      <c r="P175" s="275"/>
    </row>
    <row r="176" spans="1:16" ht="15">
      <c r="A176" s="276"/>
      <c r="B176" s="84"/>
      <c r="C176" s="85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275"/>
      <c r="O176" s="275"/>
      <c r="P176" s="275"/>
    </row>
    <row r="177" spans="1:16" ht="15">
      <c r="A177" s="276"/>
      <c r="B177" s="84"/>
      <c r="C177" s="85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275"/>
      <c r="O177" s="275"/>
      <c r="P177" s="275"/>
    </row>
    <row r="178" spans="1:16" ht="15">
      <c r="A178" s="121"/>
      <c r="B178" s="84"/>
      <c r="C178" s="85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275"/>
      <c r="O178" s="275"/>
      <c r="P178" s="275"/>
    </row>
    <row r="179" spans="1:16" ht="15">
      <c r="A179" s="121"/>
      <c r="B179" s="84"/>
      <c r="C179" s="85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275"/>
      <c r="O179" s="275"/>
      <c r="P179" s="275"/>
    </row>
    <row r="180" spans="1:16" ht="15">
      <c r="A180" s="121"/>
      <c r="B180" s="84"/>
      <c r="C180" s="85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275"/>
      <c r="O180" s="275"/>
      <c r="P180" s="275"/>
    </row>
    <row r="181" spans="1:16" ht="15">
      <c r="A181" s="121"/>
      <c r="B181" s="84"/>
      <c r="C181" s="85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275"/>
      <c r="O181" s="275"/>
      <c r="P181" s="275"/>
    </row>
    <row r="182" spans="1:16" ht="15">
      <c r="A182" s="121"/>
      <c r="B182" s="84"/>
      <c r="C182" s="85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275"/>
      <c r="O182" s="275"/>
      <c r="P182" s="275"/>
    </row>
    <row r="183" spans="1:16" ht="15">
      <c r="A183" s="121"/>
      <c r="B183" s="84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275"/>
      <c r="O183" s="275"/>
      <c r="P183" s="275"/>
    </row>
    <row r="184" spans="1:16" ht="15">
      <c r="A184" s="89"/>
      <c r="B184" s="84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275"/>
      <c r="O184" s="275"/>
      <c r="P184" s="275"/>
    </row>
    <row r="185" spans="1:16" ht="15">
      <c r="A185" s="89"/>
      <c r="B185" s="84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275"/>
      <c r="O185" s="275"/>
      <c r="P185" s="275"/>
    </row>
    <row r="186" spans="1:16" ht="15">
      <c r="A186" s="89"/>
      <c r="B186" s="84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275"/>
      <c r="O186" s="275"/>
      <c r="P186" s="275"/>
    </row>
    <row r="187" spans="1:16" ht="15">
      <c r="A187" s="89"/>
      <c r="B187" s="84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275"/>
      <c r="O187" s="275"/>
      <c r="P187" s="275"/>
    </row>
    <row r="188" spans="1:16" ht="15">
      <c r="A188" s="89"/>
      <c r="B188" s="84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275"/>
      <c r="O188" s="275"/>
      <c r="P188" s="275"/>
    </row>
    <row r="189" spans="1:16" ht="15">
      <c r="A189" s="89"/>
      <c r="B189" s="84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275"/>
      <c r="O189" s="275"/>
      <c r="P189" s="275"/>
    </row>
    <row r="190" spans="1:16" ht="15">
      <c r="A190" s="89"/>
      <c r="B190" s="84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275"/>
      <c r="O190" s="275"/>
      <c r="P190" s="275"/>
    </row>
    <row r="191" spans="1:16" ht="15">
      <c r="A191" s="89"/>
      <c r="B191" s="84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275"/>
      <c r="O191" s="275"/>
      <c r="P191" s="275"/>
    </row>
    <row r="192" spans="1:16" ht="15">
      <c r="A192" s="89"/>
      <c r="B192" s="84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275"/>
      <c r="O192" s="275"/>
      <c r="P192" s="275"/>
    </row>
    <row r="193" spans="1:16" ht="15">
      <c r="A193" s="89"/>
      <c r="B193" s="84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275"/>
      <c r="O193" s="275"/>
      <c r="P193" s="275"/>
    </row>
    <row r="194" spans="1:16" ht="15">
      <c r="A194" s="89"/>
      <c r="B194" s="84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275"/>
      <c r="O194" s="275"/>
      <c r="P194" s="275"/>
    </row>
    <row r="195" spans="1:16" ht="15">
      <c r="A195" s="89"/>
      <c r="B195" s="84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275"/>
      <c r="O195" s="275"/>
      <c r="P195" s="275"/>
    </row>
    <row r="196" spans="1:16" ht="15">
      <c r="A196" s="89"/>
      <c r="B196" s="84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275"/>
      <c r="O196" s="275"/>
      <c r="P196" s="275"/>
    </row>
    <row r="197" spans="1:16" ht="15">
      <c r="A197" s="89"/>
      <c r="B197" s="84"/>
      <c r="C197" s="85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275"/>
      <c r="O197" s="275"/>
      <c r="P197" s="275"/>
    </row>
    <row r="198" spans="1:16" ht="15">
      <c r="A198" s="89"/>
      <c r="B198" s="84"/>
      <c r="C198" s="85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275"/>
      <c r="O198" s="275"/>
      <c r="P198" s="275"/>
    </row>
    <row r="199" spans="1:16" ht="15">
      <c r="A199" s="89"/>
      <c r="B199" s="84"/>
      <c r="C199" s="85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275"/>
      <c r="O199" s="275"/>
      <c r="P199" s="275"/>
    </row>
    <row r="200" spans="1:16" ht="15">
      <c r="A200" s="89"/>
      <c r="B200" s="84"/>
      <c r="C200" s="85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275"/>
      <c r="O200" s="275"/>
      <c r="P200" s="275"/>
    </row>
    <row r="201" spans="1:13" ht="15">
      <c r="A201" s="89"/>
      <c r="B201" s="84"/>
      <c r="C201" s="85"/>
      <c r="D201" s="86"/>
      <c r="E201" s="86"/>
      <c r="F201" s="86"/>
      <c r="G201" s="86"/>
      <c r="H201" s="86"/>
      <c r="I201" s="86"/>
      <c r="J201" s="86"/>
      <c r="K201" s="86"/>
      <c r="L201" s="86"/>
      <c r="M201" s="86"/>
    </row>
    <row r="202" spans="1:13" ht="15">
      <c r="A202" s="89"/>
      <c r="B202" s="84"/>
      <c r="C202" s="85"/>
      <c r="D202" s="86"/>
      <c r="E202" s="86"/>
      <c r="F202" s="86"/>
      <c r="G202" s="86"/>
      <c r="H202" s="86"/>
      <c r="I202" s="86"/>
      <c r="J202" s="86"/>
      <c r="K202" s="86"/>
      <c r="L202" s="86"/>
      <c r="M202" s="86"/>
    </row>
    <row r="203" spans="1:13" ht="15">
      <c r="A203" s="89"/>
      <c r="B203" s="84"/>
      <c r="C203" s="85"/>
      <c r="D203" s="86"/>
      <c r="E203" s="86"/>
      <c r="F203" s="86"/>
      <c r="G203" s="86"/>
      <c r="H203" s="86"/>
      <c r="I203" s="86"/>
      <c r="J203" s="86"/>
      <c r="K203" s="86"/>
      <c r="L203" s="86"/>
      <c r="M203" s="86"/>
    </row>
    <row r="204" spans="1:13" ht="15">
      <c r="A204" s="89"/>
      <c r="B204" s="84"/>
      <c r="C204" s="85"/>
      <c r="D204" s="86"/>
      <c r="E204" s="86"/>
      <c r="F204" s="86"/>
      <c r="G204" s="86"/>
      <c r="H204" s="86"/>
      <c r="I204" s="86"/>
      <c r="J204" s="86"/>
      <c r="K204" s="86"/>
      <c r="L204" s="86"/>
      <c r="M204" s="86"/>
    </row>
    <row r="205" spans="1:13" ht="15">
      <c r="A205" s="89"/>
      <c r="B205" s="84"/>
      <c r="C205" s="85"/>
      <c r="D205" s="86"/>
      <c r="E205" s="86"/>
      <c r="F205" s="86"/>
      <c r="G205" s="86"/>
      <c r="H205" s="86"/>
      <c r="I205" s="86"/>
      <c r="J205" s="86"/>
      <c r="K205" s="86"/>
      <c r="L205" s="86"/>
      <c r="M205" s="86"/>
    </row>
    <row r="206" spans="1:13" ht="15">
      <c r="A206" s="89"/>
      <c r="B206" s="84"/>
      <c r="C206" s="85"/>
      <c r="D206" s="86"/>
      <c r="E206" s="86"/>
      <c r="F206" s="86"/>
      <c r="G206" s="86"/>
      <c r="H206" s="86"/>
      <c r="I206" s="86"/>
      <c r="J206" s="86"/>
      <c r="K206" s="86"/>
      <c r="L206" s="86"/>
      <c r="M206" s="86"/>
    </row>
    <row r="207" spans="1:13" ht="15">
      <c r="A207" s="89"/>
      <c r="B207" s="84"/>
      <c r="C207" s="84"/>
      <c r="D207" s="93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1:13" ht="15">
      <c r="A208" s="89"/>
      <c r="B208" s="84"/>
      <c r="C208" s="84"/>
      <c r="D208" s="93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1:13" ht="15">
      <c r="A209" s="89"/>
      <c r="B209" s="84"/>
      <c r="C209" s="84"/>
      <c r="D209" s="93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1:13" ht="15">
      <c r="A210" s="89"/>
      <c r="B210" s="84"/>
      <c r="C210" s="84"/>
      <c r="D210" s="93"/>
      <c r="E210" s="93"/>
      <c r="F210" s="93"/>
      <c r="G210" s="93"/>
      <c r="H210" s="93"/>
      <c r="I210" s="93"/>
      <c r="J210" s="93"/>
      <c r="K210" s="93"/>
      <c r="L210" s="93"/>
      <c r="M210" s="9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0"/>
  <sheetViews>
    <sheetView zoomScale="75" zoomScaleNormal="75" zoomScalePageLayoutView="0" workbookViewId="0" topLeftCell="A39">
      <selection activeCell="H63" sqref="H63"/>
    </sheetView>
  </sheetViews>
  <sheetFormatPr defaultColWidth="8.88671875" defaultRowHeight="15"/>
  <cols>
    <col min="1" max="1" width="6.3359375" style="122" customWidth="1"/>
    <col min="2" max="2" width="31.88671875" style="122" customWidth="1"/>
    <col min="3" max="3" width="7.10546875" style="122" customWidth="1"/>
    <col min="4" max="4" width="7.5546875" style="122" customWidth="1"/>
    <col min="5" max="7" width="10.3359375" style="122" customWidth="1"/>
    <col min="8" max="8" width="10.4453125" style="122" customWidth="1"/>
    <col min="9" max="16384" width="8.88671875" style="122" customWidth="1"/>
  </cols>
  <sheetData>
    <row r="1" spans="1:9" ht="15">
      <c r="A1" s="92" t="s">
        <v>791</v>
      </c>
      <c r="B1" s="66"/>
      <c r="C1" s="66"/>
      <c r="D1" s="66"/>
      <c r="E1" s="69"/>
      <c r="F1" s="69"/>
      <c r="G1" s="69"/>
      <c r="H1" s="69"/>
      <c r="I1" s="216"/>
    </row>
    <row r="2" spans="1:9" ht="15" thickBot="1">
      <c r="A2" s="92"/>
      <c r="B2" s="66"/>
      <c r="C2" s="66"/>
      <c r="D2" s="66"/>
      <c r="E2" s="69"/>
      <c r="F2" s="69"/>
      <c r="G2" s="69"/>
      <c r="H2" s="69"/>
      <c r="I2" s="216"/>
    </row>
    <row r="3" spans="1:9" ht="15" thickTop="1">
      <c r="A3" s="242"/>
      <c r="B3" s="243"/>
      <c r="C3" s="243"/>
      <c r="D3" s="243" t="s">
        <v>243</v>
      </c>
      <c r="E3" s="244"/>
      <c r="F3" s="244"/>
      <c r="G3" s="244"/>
      <c r="H3" s="244" t="s">
        <v>242</v>
      </c>
      <c r="I3" s="216"/>
    </row>
    <row r="4" spans="1:9" ht="15" thickBot="1">
      <c r="A4" s="245" t="s">
        <v>36</v>
      </c>
      <c r="B4" s="246" t="s">
        <v>55</v>
      </c>
      <c r="C4" s="247" t="s">
        <v>3</v>
      </c>
      <c r="D4" s="247" t="s">
        <v>3</v>
      </c>
      <c r="E4" s="248" t="s">
        <v>374</v>
      </c>
      <c r="F4" s="248" t="s">
        <v>58</v>
      </c>
      <c r="G4" s="248" t="s">
        <v>53</v>
      </c>
      <c r="H4" s="248" t="s">
        <v>244</v>
      </c>
      <c r="I4" s="216"/>
    </row>
    <row r="5" spans="1:9" ht="15" thickTop="1">
      <c r="A5" s="91"/>
      <c r="B5" s="68"/>
      <c r="C5" s="68"/>
      <c r="D5" s="68"/>
      <c r="E5" s="96"/>
      <c r="F5" s="96"/>
      <c r="G5" s="96"/>
      <c r="H5" s="69"/>
      <c r="I5" s="216"/>
    </row>
    <row r="6" spans="1:9" ht="15">
      <c r="A6" s="92" t="s">
        <v>356</v>
      </c>
      <c r="B6" s="68"/>
      <c r="C6" s="68"/>
      <c r="D6" s="68"/>
      <c r="E6" s="96"/>
      <c r="F6" s="96"/>
      <c r="G6" s="96"/>
      <c r="H6" s="69"/>
      <c r="I6" s="216"/>
    </row>
    <row r="7" spans="1:9" ht="15">
      <c r="A7" s="227">
        <v>1</v>
      </c>
      <c r="B7" s="406" t="s">
        <v>8</v>
      </c>
      <c r="C7" s="441" t="s">
        <v>9</v>
      </c>
      <c r="D7" s="441" t="s">
        <v>9</v>
      </c>
      <c r="E7" s="253">
        <v>17.5</v>
      </c>
      <c r="F7" s="253">
        <v>19</v>
      </c>
      <c r="G7" s="97">
        <f>IF(E7=0,F7,IF(F7=0,E7,AVERAGE(E7,F7)))</f>
        <v>18.25</v>
      </c>
      <c r="H7" s="69">
        <f aca="true" t="shared" si="0" ref="H7:H12">ROUND(IF(C7=D7,G7,0),2)</f>
        <v>18.25</v>
      </c>
      <c r="I7" s="216"/>
    </row>
    <row r="8" spans="1:9" ht="15">
      <c r="A8" s="227">
        <v>2</v>
      </c>
      <c r="B8" s="406" t="s">
        <v>203</v>
      </c>
      <c r="C8" s="441" t="s">
        <v>9</v>
      </c>
      <c r="D8" s="441" t="s">
        <v>9</v>
      </c>
      <c r="E8" s="253">
        <v>10</v>
      </c>
      <c r="F8" s="253">
        <v>9.5</v>
      </c>
      <c r="G8" s="97">
        <f aca="true" t="shared" si="1" ref="G8:G20">IF(E8=0,F8,IF(F8=0,E8,AVERAGE(E8,F8)))</f>
        <v>9.75</v>
      </c>
      <c r="H8" s="69">
        <f t="shared" si="0"/>
        <v>9.75</v>
      </c>
      <c r="I8" s="216"/>
    </row>
    <row r="9" spans="1:9" ht="15">
      <c r="A9" s="227">
        <v>3</v>
      </c>
      <c r="B9" s="406" t="s">
        <v>204</v>
      </c>
      <c r="C9" s="441" t="s">
        <v>9</v>
      </c>
      <c r="D9" s="441" t="s">
        <v>9</v>
      </c>
      <c r="E9" s="253">
        <v>20</v>
      </c>
      <c r="F9" s="253">
        <v>18.5</v>
      </c>
      <c r="G9" s="97">
        <f t="shared" si="1"/>
        <v>19.25</v>
      </c>
      <c r="H9" s="69">
        <f t="shared" si="0"/>
        <v>19.25</v>
      </c>
      <c r="I9" s="216"/>
    </row>
    <row r="10" spans="1:9" ht="15">
      <c r="A10" s="227">
        <v>4</v>
      </c>
      <c r="B10" s="406" t="s">
        <v>248</v>
      </c>
      <c r="C10" s="441" t="s">
        <v>993</v>
      </c>
      <c r="D10" s="441" t="s">
        <v>993</v>
      </c>
      <c r="E10" s="253">
        <v>28</v>
      </c>
      <c r="F10" s="253">
        <v>40</v>
      </c>
      <c r="G10" s="97">
        <f t="shared" si="1"/>
        <v>34</v>
      </c>
      <c r="H10" s="69">
        <f t="shared" si="0"/>
        <v>34</v>
      </c>
      <c r="I10" s="216"/>
    </row>
    <row r="11" spans="1:9" ht="15">
      <c r="A11" s="227">
        <v>4.1</v>
      </c>
      <c r="B11" s="406" t="s">
        <v>265</v>
      </c>
      <c r="C11" s="441" t="s">
        <v>993</v>
      </c>
      <c r="D11" s="441" t="s">
        <v>993</v>
      </c>
      <c r="E11" s="253">
        <v>50</v>
      </c>
      <c r="F11" s="253">
        <v>80</v>
      </c>
      <c r="G11" s="97">
        <f>IF(E11=0,F11,IF(F11=0,E11,AVERAGE(E11,F11)))</f>
        <v>65</v>
      </c>
      <c r="H11" s="69">
        <f t="shared" si="0"/>
        <v>65</v>
      </c>
      <c r="I11" s="216"/>
    </row>
    <row r="12" spans="1:9" ht="15">
      <c r="A12" s="227">
        <v>5</v>
      </c>
      <c r="B12" s="406" t="s">
        <v>205</v>
      </c>
      <c r="C12" s="441" t="s">
        <v>206</v>
      </c>
      <c r="D12" s="441" t="s">
        <v>206</v>
      </c>
      <c r="E12" s="253">
        <v>30</v>
      </c>
      <c r="F12" s="253">
        <v>35</v>
      </c>
      <c r="G12" s="97">
        <f t="shared" si="1"/>
        <v>32.5</v>
      </c>
      <c r="H12" s="69">
        <f t="shared" si="0"/>
        <v>32.5</v>
      </c>
      <c r="I12" s="216"/>
    </row>
    <row r="13" spans="1:9" ht="15">
      <c r="A13" s="227">
        <v>6</v>
      </c>
      <c r="B13" s="406" t="s">
        <v>207</v>
      </c>
      <c r="C13" s="441" t="s">
        <v>206</v>
      </c>
      <c r="D13" s="441" t="s">
        <v>206</v>
      </c>
      <c r="E13" s="253">
        <v>2.5</v>
      </c>
      <c r="F13" s="253">
        <v>2.5</v>
      </c>
      <c r="G13" s="97">
        <f t="shared" si="1"/>
        <v>2.5</v>
      </c>
      <c r="H13" s="69">
        <f>ROUND(IF(C13=D13,G13,0),3)</f>
        <v>2.5</v>
      </c>
      <c r="I13" s="216"/>
    </row>
    <row r="14" spans="1:9" ht="15">
      <c r="A14" s="227">
        <v>6.1</v>
      </c>
      <c r="B14" s="406" t="s">
        <v>357</v>
      </c>
      <c r="C14" s="441" t="s">
        <v>206</v>
      </c>
      <c r="D14" s="441" t="s">
        <v>206</v>
      </c>
      <c r="E14" s="253">
        <v>3.31</v>
      </c>
      <c r="F14" s="253">
        <v>3.65</v>
      </c>
      <c r="G14" s="97">
        <f>IF(E14=0,F14,IF(F14=0,E14,AVERAGE(E14,F14)))</f>
        <v>3.48</v>
      </c>
      <c r="H14" s="69">
        <f>ROUND(IF(C14=D14,G14,0),3)</f>
        <v>3.48</v>
      </c>
      <c r="I14" s="250"/>
    </row>
    <row r="15" spans="1:9" ht="15">
      <c r="A15" s="227">
        <v>7</v>
      </c>
      <c r="B15" s="406" t="s">
        <v>208</v>
      </c>
      <c r="C15" s="441" t="s">
        <v>245</v>
      </c>
      <c r="D15" s="441" t="s">
        <v>245</v>
      </c>
      <c r="E15" s="253">
        <v>5.5</v>
      </c>
      <c r="F15" s="253">
        <v>5</v>
      </c>
      <c r="G15" s="97">
        <f t="shared" si="1"/>
        <v>5.25</v>
      </c>
      <c r="H15" s="69">
        <f aca="true" t="shared" si="2" ref="H15:H20">ROUND(IF(C15=D15,G15,0),2)</f>
        <v>5.25</v>
      </c>
      <c r="I15" s="251"/>
    </row>
    <row r="16" spans="1:9" ht="15">
      <c r="A16" s="227">
        <v>7.1</v>
      </c>
      <c r="B16" s="406" t="s">
        <v>266</v>
      </c>
      <c r="C16" s="441" t="s">
        <v>245</v>
      </c>
      <c r="D16" s="441" t="s">
        <v>245</v>
      </c>
      <c r="E16" s="253">
        <v>5.5</v>
      </c>
      <c r="F16" s="253">
        <v>5</v>
      </c>
      <c r="G16" s="97">
        <f>IF(E16=0,F16,IF(F16=0,E16,AVERAGE(E16,F16)))</f>
        <v>5.25</v>
      </c>
      <c r="H16" s="69">
        <f t="shared" si="2"/>
        <v>5.25</v>
      </c>
      <c r="I16" s="251"/>
    </row>
    <row r="17" spans="1:9" ht="15">
      <c r="A17" s="227">
        <v>7.2</v>
      </c>
      <c r="B17" s="406" t="s">
        <v>267</v>
      </c>
      <c r="C17" s="441" t="s">
        <v>245</v>
      </c>
      <c r="D17" s="441" t="s">
        <v>245</v>
      </c>
      <c r="E17" s="253">
        <v>5.5</v>
      </c>
      <c r="F17" s="253">
        <v>5</v>
      </c>
      <c r="G17" s="97">
        <f>IF(E17=0,F17,IF(F17=0,E17,AVERAGE(E17,F17)))</f>
        <v>5.25</v>
      </c>
      <c r="H17" s="69">
        <f t="shared" si="2"/>
        <v>5.25</v>
      </c>
      <c r="I17" s="251"/>
    </row>
    <row r="18" spans="1:9" ht="15">
      <c r="A18" s="227">
        <v>7.3</v>
      </c>
      <c r="B18" s="406" t="s">
        <v>599</v>
      </c>
      <c r="C18" s="441" t="s">
        <v>996</v>
      </c>
      <c r="D18" s="441" t="s">
        <v>996</v>
      </c>
      <c r="E18" s="253">
        <v>600</v>
      </c>
      <c r="F18" s="253">
        <v>625</v>
      </c>
      <c r="G18" s="97">
        <f>IF(E18=0,F18,IF(F18=0,E18,AVERAGE(E18,F18)))</f>
        <v>612.5</v>
      </c>
      <c r="H18" s="69">
        <f t="shared" si="2"/>
        <v>612.5</v>
      </c>
      <c r="I18" s="251"/>
    </row>
    <row r="19" spans="1:9" ht="15">
      <c r="A19" s="227">
        <v>8</v>
      </c>
      <c r="B19" s="406" t="s">
        <v>209</v>
      </c>
      <c r="C19" s="441" t="s">
        <v>245</v>
      </c>
      <c r="D19" s="441" t="s">
        <v>245</v>
      </c>
      <c r="E19" s="253">
        <v>0.9</v>
      </c>
      <c r="F19" s="253">
        <v>0.95</v>
      </c>
      <c r="G19" s="97">
        <f t="shared" si="1"/>
        <v>0.925</v>
      </c>
      <c r="H19" s="69">
        <f t="shared" si="2"/>
        <v>0.93</v>
      </c>
      <c r="I19" s="216"/>
    </row>
    <row r="20" spans="1:9" ht="15">
      <c r="A20" s="227">
        <v>9</v>
      </c>
      <c r="B20" s="406" t="s">
        <v>239</v>
      </c>
      <c r="C20" s="441" t="s">
        <v>245</v>
      </c>
      <c r="D20" s="441" t="s">
        <v>245</v>
      </c>
      <c r="E20" s="253">
        <v>1.8</v>
      </c>
      <c r="F20" s="253">
        <v>1.8</v>
      </c>
      <c r="G20" s="97">
        <f t="shared" si="1"/>
        <v>1.8</v>
      </c>
      <c r="H20" s="69">
        <f t="shared" si="2"/>
        <v>1.8</v>
      </c>
      <c r="I20" s="216"/>
    </row>
    <row r="21" spans="1:9" ht="15">
      <c r="A21" s="119"/>
      <c r="B21" s="442"/>
      <c r="C21" s="443"/>
      <c r="D21" s="443"/>
      <c r="E21" s="253"/>
      <c r="F21" s="253"/>
      <c r="G21" s="97"/>
      <c r="H21" s="69"/>
      <c r="I21" s="216"/>
    </row>
    <row r="22" spans="1:9" ht="15">
      <c r="A22" s="252" t="s">
        <v>249</v>
      </c>
      <c r="B22" s="66"/>
      <c r="C22" s="77"/>
      <c r="D22" s="77"/>
      <c r="E22" s="253"/>
      <c r="F22" s="253"/>
      <c r="G22" s="97"/>
      <c r="H22" s="69"/>
      <c r="I22" s="216"/>
    </row>
    <row r="23" spans="1:9" ht="15">
      <c r="A23" s="227">
        <v>10</v>
      </c>
      <c r="B23" s="406" t="s">
        <v>210</v>
      </c>
      <c r="C23" s="441" t="s">
        <v>211</v>
      </c>
      <c r="D23" s="441" t="s">
        <v>211</v>
      </c>
      <c r="E23" s="253">
        <v>0</v>
      </c>
      <c r="F23" s="253">
        <v>0</v>
      </c>
      <c r="G23" s="97">
        <f aca="true" t="shared" si="3" ref="G23:G44">IF(E23=0,F23,IF(F23=0,E23,AVERAGE(E23,F23)))</f>
        <v>0</v>
      </c>
      <c r="H23" s="69">
        <f>ROUND(IF(C23=D23,G23,0),4)</f>
        <v>0</v>
      </c>
      <c r="I23" s="216"/>
    </row>
    <row r="24" spans="1:9" ht="15">
      <c r="A24" s="227">
        <v>11</v>
      </c>
      <c r="B24" s="406" t="s">
        <v>212</v>
      </c>
      <c r="C24" s="441" t="s">
        <v>211</v>
      </c>
      <c r="D24" s="441" t="s">
        <v>211</v>
      </c>
      <c r="E24" s="253">
        <v>0.15</v>
      </c>
      <c r="F24" s="253">
        <v>0.2</v>
      </c>
      <c r="G24" s="97">
        <f t="shared" si="3"/>
        <v>0.175</v>
      </c>
      <c r="H24" s="69">
        <f>ROUND(IF(C24=D24,G24,0),4)</f>
        <v>0.175</v>
      </c>
      <c r="I24" s="216"/>
    </row>
    <row r="25" spans="1:9" ht="15">
      <c r="A25" s="227">
        <v>12</v>
      </c>
      <c r="B25" s="406" t="s">
        <v>213</v>
      </c>
      <c r="C25" s="441" t="s">
        <v>206</v>
      </c>
      <c r="D25" s="441" t="s">
        <v>206</v>
      </c>
      <c r="E25" s="253">
        <v>36</v>
      </c>
      <c r="F25" s="253">
        <v>35</v>
      </c>
      <c r="G25" s="97">
        <f t="shared" si="3"/>
        <v>35.5</v>
      </c>
      <c r="H25" s="69">
        <f aca="true" t="shared" si="4" ref="H25:H44">ROUND(IF(C25=D25,G25,0),4)</f>
        <v>35.5</v>
      </c>
      <c r="I25" s="216"/>
    </row>
    <row r="26" spans="1:9" ht="15">
      <c r="A26" s="227">
        <v>13</v>
      </c>
      <c r="B26" s="406" t="s">
        <v>240</v>
      </c>
      <c r="C26" s="441" t="s">
        <v>206</v>
      </c>
      <c r="D26" s="441" t="s">
        <v>206</v>
      </c>
      <c r="E26" s="253">
        <v>46</v>
      </c>
      <c r="F26" s="253">
        <v>50</v>
      </c>
      <c r="G26" s="97">
        <f t="shared" si="3"/>
        <v>48</v>
      </c>
      <c r="H26" s="69">
        <f t="shared" si="4"/>
        <v>48</v>
      </c>
      <c r="I26" s="216"/>
    </row>
    <row r="27" spans="1:9" ht="15">
      <c r="A27" s="227">
        <v>14</v>
      </c>
      <c r="B27" s="406" t="s">
        <v>241</v>
      </c>
      <c r="C27" s="441" t="s">
        <v>206</v>
      </c>
      <c r="D27" s="441" t="s">
        <v>206</v>
      </c>
      <c r="E27" s="253">
        <v>46</v>
      </c>
      <c r="F27" s="253">
        <v>50</v>
      </c>
      <c r="G27" s="97">
        <f>IF(E27=0,F27,IF(F27=0,E27,AVERAGE(E27,F27)))</f>
        <v>48</v>
      </c>
      <c r="H27" s="69">
        <f t="shared" si="4"/>
        <v>48</v>
      </c>
      <c r="I27" s="216"/>
    </row>
    <row r="28" spans="1:9" ht="15">
      <c r="A28" s="227">
        <v>15</v>
      </c>
      <c r="B28" s="406" t="s">
        <v>214</v>
      </c>
      <c r="C28" s="441" t="s">
        <v>206</v>
      </c>
      <c r="D28" s="441" t="s">
        <v>206</v>
      </c>
      <c r="E28" s="253">
        <v>16</v>
      </c>
      <c r="F28" s="253">
        <v>18</v>
      </c>
      <c r="G28" s="97">
        <f t="shared" si="3"/>
        <v>17</v>
      </c>
      <c r="H28" s="69">
        <f t="shared" si="4"/>
        <v>17</v>
      </c>
      <c r="I28" s="216"/>
    </row>
    <row r="29" spans="1:9" ht="15">
      <c r="A29" s="227">
        <v>16</v>
      </c>
      <c r="B29" s="406" t="s">
        <v>545</v>
      </c>
      <c r="C29" s="441" t="s">
        <v>245</v>
      </c>
      <c r="D29" s="441" t="s">
        <v>245</v>
      </c>
      <c r="E29" s="253">
        <v>12</v>
      </c>
      <c r="F29" s="253">
        <v>9</v>
      </c>
      <c r="G29" s="97">
        <f t="shared" si="3"/>
        <v>10.5</v>
      </c>
      <c r="H29" s="69">
        <f t="shared" si="4"/>
        <v>10.5</v>
      </c>
      <c r="I29" s="216"/>
    </row>
    <row r="30" spans="1:9" ht="15">
      <c r="A30" s="227">
        <v>16</v>
      </c>
      <c r="B30" s="406" t="s">
        <v>546</v>
      </c>
      <c r="C30" s="441" t="s">
        <v>245</v>
      </c>
      <c r="D30" s="441" t="s">
        <v>245</v>
      </c>
      <c r="E30" s="253">
        <v>12</v>
      </c>
      <c r="F30" s="253">
        <v>9</v>
      </c>
      <c r="G30" s="97">
        <f>IF(E30=0,F30,IF(F30=0,E30,AVERAGE(E30,F30)))</f>
        <v>10.5</v>
      </c>
      <c r="H30" s="69">
        <f>ROUND(IF(C30=D30,G30,0),4)</f>
        <v>10.5</v>
      </c>
      <c r="I30" s="216"/>
    </row>
    <row r="31" spans="1:9" ht="15">
      <c r="A31" s="227">
        <v>17</v>
      </c>
      <c r="B31" s="406" t="s">
        <v>215</v>
      </c>
      <c r="C31" s="441" t="s">
        <v>245</v>
      </c>
      <c r="D31" s="441" t="s">
        <v>245</v>
      </c>
      <c r="E31" s="253">
        <v>30</v>
      </c>
      <c r="F31" s="253">
        <v>40</v>
      </c>
      <c r="G31" s="97">
        <f t="shared" si="3"/>
        <v>35</v>
      </c>
      <c r="H31" s="69">
        <f t="shared" si="4"/>
        <v>35</v>
      </c>
      <c r="I31" s="216"/>
    </row>
    <row r="32" spans="1:9" ht="15">
      <c r="A32" s="227">
        <v>18</v>
      </c>
      <c r="B32" s="406" t="s">
        <v>216</v>
      </c>
      <c r="C32" s="441" t="s">
        <v>245</v>
      </c>
      <c r="D32" s="441" t="s">
        <v>245</v>
      </c>
      <c r="E32" s="253">
        <v>30</v>
      </c>
      <c r="F32" s="253">
        <v>40</v>
      </c>
      <c r="G32" s="97">
        <f t="shared" si="3"/>
        <v>35</v>
      </c>
      <c r="H32" s="69">
        <f t="shared" si="4"/>
        <v>35</v>
      </c>
      <c r="I32" s="216"/>
    </row>
    <row r="33" spans="1:9" ht="15">
      <c r="A33" s="227">
        <v>19</v>
      </c>
      <c r="B33" s="406" t="s">
        <v>217</v>
      </c>
      <c r="C33" s="441" t="s">
        <v>245</v>
      </c>
      <c r="D33" s="441" t="s">
        <v>245</v>
      </c>
      <c r="E33" s="253">
        <v>32</v>
      </c>
      <c r="F33" s="253">
        <v>30</v>
      </c>
      <c r="G33" s="97">
        <f t="shared" si="3"/>
        <v>31</v>
      </c>
      <c r="H33" s="69">
        <f t="shared" si="4"/>
        <v>31</v>
      </c>
      <c r="I33" s="216"/>
    </row>
    <row r="34" spans="1:9" ht="15">
      <c r="A34" s="227">
        <v>20</v>
      </c>
      <c r="B34" s="406" t="s">
        <v>218</v>
      </c>
      <c r="C34" s="441" t="s">
        <v>245</v>
      </c>
      <c r="D34" s="441" t="s">
        <v>245</v>
      </c>
      <c r="E34" s="253">
        <v>7.45</v>
      </c>
      <c r="F34" s="253">
        <v>7</v>
      </c>
      <c r="G34" s="97">
        <f t="shared" si="3"/>
        <v>7.225</v>
      </c>
      <c r="H34" s="69">
        <f t="shared" si="4"/>
        <v>7.225</v>
      </c>
      <c r="I34" s="216"/>
    </row>
    <row r="35" spans="1:9" ht="15">
      <c r="A35" s="227">
        <v>21</v>
      </c>
      <c r="B35" s="406" t="s">
        <v>219</v>
      </c>
      <c r="C35" s="441" t="s">
        <v>245</v>
      </c>
      <c r="D35" s="441" t="s">
        <v>245</v>
      </c>
      <c r="E35" s="253">
        <v>4.3</v>
      </c>
      <c r="F35" s="253">
        <v>4.5</v>
      </c>
      <c r="G35" s="97">
        <f t="shared" si="3"/>
        <v>4.4</v>
      </c>
      <c r="H35" s="69">
        <f t="shared" si="4"/>
        <v>4.4</v>
      </c>
      <c r="I35" s="216"/>
    </row>
    <row r="36" spans="1:9" ht="15">
      <c r="A36" s="227">
        <v>22</v>
      </c>
      <c r="B36" s="406" t="s">
        <v>220</v>
      </c>
      <c r="C36" s="441" t="s">
        <v>245</v>
      </c>
      <c r="D36" s="441" t="s">
        <v>245</v>
      </c>
      <c r="E36" s="253">
        <v>5.45</v>
      </c>
      <c r="F36" s="253">
        <v>5.6</v>
      </c>
      <c r="G36" s="97">
        <f t="shared" si="3"/>
        <v>5.525</v>
      </c>
      <c r="H36" s="69">
        <f t="shared" si="4"/>
        <v>5.525</v>
      </c>
      <c r="I36" s="216"/>
    </row>
    <row r="37" spans="1:9" ht="15">
      <c r="A37" s="227">
        <v>23</v>
      </c>
      <c r="B37" s="406" t="s">
        <v>221</v>
      </c>
      <c r="C37" s="441" t="s">
        <v>245</v>
      </c>
      <c r="D37" s="441" t="s">
        <v>245</v>
      </c>
      <c r="E37" s="253">
        <v>4.05</v>
      </c>
      <c r="F37" s="253">
        <v>4.25</v>
      </c>
      <c r="G37" s="97">
        <f t="shared" si="3"/>
        <v>4.15</v>
      </c>
      <c r="H37" s="69">
        <f t="shared" si="4"/>
        <v>4.15</v>
      </c>
      <c r="I37" s="216"/>
    </row>
    <row r="38" spans="1:9" ht="15">
      <c r="A38" s="227">
        <v>24</v>
      </c>
      <c r="B38" s="406" t="s">
        <v>222</v>
      </c>
      <c r="C38" s="441" t="s">
        <v>245</v>
      </c>
      <c r="D38" s="441" t="s">
        <v>245</v>
      </c>
      <c r="E38" s="253">
        <v>4.65</v>
      </c>
      <c r="F38" s="253">
        <v>4</v>
      </c>
      <c r="G38" s="97">
        <f t="shared" si="3"/>
        <v>4.325</v>
      </c>
      <c r="H38" s="69">
        <f t="shared" si="4"/>
        <v>4.325</v>
      </c>
      <c r="I38" s="216"/>
    </row>
    <row r="39" spans="1:9" ht="15">
      <c r="A39" s="227">
        <v>25</v>
      </c>
      <c r="B39" s="406" t="s">
        <v>223</v>
      </c>
      <c r="C39" s="441" t="s">
        <v>245</v>
      </c>
      <c r="D39" s="441" t="s">
        <v>245</v>
      </c>
      <c r="E39" s="253">
        <v>12.6</v>
      </c>
      <c r="F39" s="253">
        <v>12.99</v>
      </c>
      <c r="G39" s="97">
        <f t="shared" si="3"/>
        <v>12.795</v>
      </c>
      <c r="H39" s="69">
        <f t="shared" si="4"/>
        <v>12.795</v>
      </c>
      <c r="I39" s="216"/>
    </row>
    <row r="40" spans="1:9" ht="15">
      <c r="A40" s="227">
        <v>26</v>
      </c>
      <c r="B40" s="406" t="s">
        <v>224</v>
      </c>
      <c r="C40" s="441" t="s">
        <v>245</v>
      </c>
      <c r="D40" s="441" t="s">
        <v>245</v>
      </c>
      <c r="E40" s="253">
        <v>30</v>
      </c>
      <c r="F40" s="253">
        <v>28</v>
      </c>
      <c r="G40" s="97">
        <f t="shared" si="3"/>
        <v>29</v>
      </c>
      <c r="H40" s="69">
        <f t="shared" si="4"/>
        <v>29</v>
      </c>
      <c r="I40" s="216"/>
    </row>
    <row r="41" spans="1:9" ht="15">
      <c r="A41" s="227">
        <v>27</v>
      </c>
      <c r="B41" s="406" t="s">
        <v>225</v>
      </c>
      <c r="C41" s="441" t="s">
        <v>211</v>
      </c>
      <c r="D41" s="441" t="s">
        <v>211</v>
      </c>
      <c r="E41" s="253">
        <v>0.15</v>
      </c>
      <c r="F41" s="253">
        <v>0.17</v>
      </c>
      <c r="G41" s="97">
        <f t="shared" si="3"/>
        <v>0.16</v>
      </c>
      <c r="H41" s="69">
        <f t="shared" si="4"/>
        <v>0.16</v>
      </c>
      <c r="I41" s="216"/>
    </row>
    <row r="42" spans="1:9" ht="15">
      <c r="A42" s="227">
        <v>28</v>
      </c>
      <c r="B42" s="406" t="s">
        <v>226</v>
      </c>
      <c r="C42" s="441" t="s">
        <v>206</v>
      </c>
      <c r="D42" s="441" t="s">
        <v>206</v>
      </c>
      <c r="E42" s="253">
        <v>170</v>
      </c>
      <c r="F42" s="253">
        <v>160</v>
      </c>
      <c r="G42" s="97">
        <f t="shared" si="3"/>
        <v>165</v>
      </c>
      <c r="H42" s="69">
        <f t="shared" si="4"/>
        <v>165</v>
      </c>
      <c r="I42" s="216"/>
    </row>
    <row r="43" spans="1:9" ht="15">
      <c r="A43" s="227">
        <v>29</v>
      </c>
      <c r="B43" s="406" t="s">
        <v>227</v>
      </c>
      <c r="C43" s="441" t="s">
        <v>206</v>
      </c>
      <c r="D43" s="441" t="s">
        <v>206</v>
      </c>
      <c r="E43" s="253">
        <v>230</v>
      </c>
      <c r="F43" s="253">
        <v>220</v>
      </c>
      <c r="G43" s="97">
        <f t="shared" si="3"/>
        <v>225</v>
      </c>
      <c r="H43" s="69">
        <f t="shared" si="4"/>
        <v>225</v>
      </c>
      <c r="I43" s="216"/>
    </row>
    <row r="44" spans="1:9" ht="15">
      <c r="A44" s="227">
        <v>30</v>
      </c>
      <c r="B44" s="406" t="s">
        <v>228</v>
      </c>
      <c r="C44" s="441" t="s">
        <v>245</v>
      </c>
      <c r="D44" s="441" t="s">
        <v>245</v>
      </c>
      <c r="E44" s="253">
        <v>19</v>
      </c>
      <c r="F44" s="253">
        <v>22</v>
      </c>
      <c r="G44" s="97">
        <f t="shared" si="3"/>
        <v>20.5</v>
      </c>
      <c r="H44" s="69">
        <f t="shared" si="4"/>
        <v>20.5</v>
      </c>
      <c r="I44" s="216"/>
    </row>
    <row r="45" spans="1:9" ht="15">
      <c r="A45" s="119"/>
      <c r="B45" s="406"/>
      <c r="C45" s="441"/>
      <c r="D45" s="441"/>
      <c r="E45" s="253"/>
      <c r="F45" s="253"/>
      <c r="G45" s="97"/>
      <c r="H45" s="69"/>
      <c r="I45" s="216"/>
    </row>
    <row r="46" spans="1:9" ht="15">
      <c r="A46" s="252" t="s">
        <v>229</v>
      </c>
      <c r="B46" s="209"/>
      <c r="C46" s="249"/>
      <c r="D46" s="249"/>
      <c r="E46" s="253"/>
      <c r="F46" s="253"/>
      <c r="G46" s="97"/>
      <c r="H46" s="69"/>
      <c r="I46" s="216"/>
    </row>
    <row r="47" spans="1:9" ht="15">
      <c r="A47" s="227">
        <v>31</v>
      </c>
      <c r="B47" s="406" t="s">
        <v>230</v>
      </c>
      <c r="C47" s="441" t="s">
        <v>231</v>
      </c>
      <c r="D47" s="441" t="s">
        <v>246</v>
      </c>
      <c r="E47" s="489">
        <v>450</v>
      </c>
      <c r="F47" s="489">
        <v>450</v>
      </c>
      <c r="G47" s="97">
        <f aca="true" t="shared" si="5" ref="G47:G82">IF(E47=0,F47,IF(F47=0,E47,AVERAGE(E47,F47)))</f>
        <v>450</v>
      </c>
      <c r="H47" s="69">
        <f>ROUND(IF(C47="TON",IF(D47="CWT",G47/20,IF(D47="LBS",G47/2000,IF(D47="GAL",(G47/2000)*8,G47))),G47),2)</f>
        <v>22.5</v>
      </c>
      <c r="I47" s="216"/>
    </row>
    <row r="48" spans="1:9" ht="15">
      <c r="A48" s="227">
        <v>31.1</v>
      </c>
      <c r="B48" s="406" t="s">
        <v>337</v>
      </c>
      <c r="C48" s="441" t="s">
        <v>231</v>
      </c>
      <c r="D48" s="441" t="s">
        <v>246</v>
      </c>
      <c r="E48" s="253">
        <v>350</v>
      </c>
      <c r="F48" s="253">
        <v>300</v>
      </c>
      <c r="G48" s="97">
        <f t="shared" si="5"/>
        <v>325</v>
      </c>
      <c r="H48" s="69">
        <f aca="true" t="shared" si="6" ref="H48:H60">ROUND(IF(C48="TON",IF(D48="CWT",G48/20,IF(D48="LBS",G48/2000,IF(D48="GAL",(G48/2000)*8,G48))),G48),2)</f>
        <v>16.25</v>
      </c>
      <c r="I48" s="216"/>
    </row>
    <row r="49" spans="1:9" ht="15">
      <c r="A49" s="227">
        <v>32</v>
      </c>
      <c r="B49" s="406" t="s">
        <v>232</v>
      </c>
      <c r="C49" s="441" t="s">
        <v>231</v>
      </c>
      <c r="D49" s="441" t="s">
        <v>246</v>
      </c>
      <c r="E49" s="253">
        <v>280</v>
      </c>
      <c r="F49" s="253">
        <v>450</v>
      </c>
      <c r="G49" s="97">
        <f t="shared" si="5"/>
        <v>365</v>
      </c>
      <c r="H49" s="69">
        <f t="shared" si="6"/>
        <v>18.25</v>
      </c>
      <c r="I49" s="216"/>
    </row>
    <row r="50" spans="1:9" ht="15">
      <c r="A50" s="227">
        <v>32.1</v>
      </c>
      <c r="B50" s="406" t="s">
        <v>338</v>
      </c>
      <c r="C50" s="441" t="s">
        <v>231</v>
      </c>
      <c r="D50" s="441" t="s">
        <v>246</v>
      </c>
      <c r="E50" s="253">
        <v>340</v>
      </c>
      <c r="F50" s="253">
        <v>350</v>
      </c>
      <c r="G50" s="97">
        <f t="shared" si="5"/>
        <v>345</v>
      </c>
      <c r="H50" s="69">
        <f t="shared" si="6"/>
        <v>17.25</v>
      </c>
      <c r="I50" s="216"/>
    </row>
    <row r="51" spans="1:9" ht="15">
      <c r="A51" s="227">
        <v>32.2</v>
      </c>
      <c r="B51" s="406" t="s">
        <v>342</v>
      </c>
      <c r="C51" s="441" t="s">
        <v>231</v>
      </c>
      <c r="D51" s="441" t="s">
        <v>245</v>
      </c>
      <c r="E51" s="253">
        <v>560</v>
      </c>
      <c r="F51" s="253">
        <v>600</v>
      </c>
      <c r="G51" s="97">
        <f t="shared" si="5"/>
        <v>580</v>
      </c>
      <c r="H51" s="69">
        <f t="shared" si="6"/>
        <v>0.29</v>
      </c>
      <c r="I51" s="216"/>
    </row>
    <row r="52" spans="1:9" ht="15">
      <c r="A52" s="227">
        <v>32.3</v>
      </c>
      <c r="B52" s="254" t="s">
        <v>343</v>
      </c>
      <c r="C52" s="441" t="s">
        <v>231</v>
      </c>
      <c r="D52" s="441" t="s">
        <v>46</v>
      </c>
      <c r="E52" s="253">
        <v>475</v>
      </c>
      <c r="F52" s="253">
        <v>500</v>
      </c>
      <c r="G52" s="97">
        <f t="shared" si="5"/>
        <v>487.5</v>
      </c>
      <c r="H52" s="69">
        <f t="shared" si="6"/>
        <v>1.95</v>
      </c>
      <c r="I52" s="216"/>
    </row>
    <row r="53" spans="1:9" ht="15">
      <c r="A53" s="227">
        <v>33</v>
      </c>
      <c r="B53" s="406" t="s">
        <v>233</v>
      </c>
      <c r="C53" s="441" t="s">
        <v>231</v>
      </c>
      <c r="D53" s="441" t="s">
        <v>246</v>
      </c>
      <c r="E53" s="253">
        <v>350</v>
      </c>
      <c r="F53" s="253">
        <v>300</v>
      </c>
      <c r="G53" s="97">
        <f t="shared" si="5"/>
        <v>325</v>
      </c>
      <c r="H53" s="69">
        <f t="shared" si="6"/>
        <v>16.25</v>
      </c>
      <c r="I53" s="216"/>
    </row>
    <row r="54" spans="1:9" ht="15">
      <c r="A54" s="227">
        <v>33.1</v>
      </c>
      <c r="B54" s="254" t="s">
        <v>271</v>
      </c>
      <c r="C54" s="249" t="s">
        <v>231</v>
      </c>
      <c r="D54" s="249" t="s">
        <v>246</v>
      </c>
      <c r="E54" s="253">
        <v>400</v>
      </c>
      <c r="F54" s="253">
        <v>430</v>
      </c>
      <c r="G54" s="97">
        <f t="shared" si="5"/>
        <v>415</v>
      </c>
      <c r="H54" s="69">
        <f t="shared" si="6"/>
        <v>20.75</v>
      </c>
      <c r="I54" s="216"/>
    </row>
    <row r="55" spans="1:9" ht="15">
      <c r="A55" s="227">
        <v>33.2</v>
      </c>
      <c r="B55" s="254" t="s">
        <v>318</v>
      </c>
      <c r="C55" s="249" t="s">
        <v>231</v>
      </c>
      <c r="D55" s="249" t="s">
        <v>246</v>
      </c>
      <c r="E55" s="253">
        <v>375</v>
      </c>
      <c r="F55" s="253">
        <v>400</v>
      </c>
      <c r="G55" s="97">
        <f t="shared" si="5"/>
        <v>387.5</v>
      </c>
      <c r="H55" s="69">
        <f t="shared" si="6"/>
        <v>19.38</v>
      </c>
      <c r="I55" s="216"/>
    </row>
    <row r="56" spans="1:9" ht="15">
      <c r="A56" s="227">
        <v>33.3</v>
      </c>
      <c r="B56" s="254" t="s">
        <v>319</v>
      </c>
      <c r="C56" s="249" t="s">
        <v>231</v>
      </c>
      <c r="D56" s="249" t="s">
        <v>246</v>
      </c>
      <c r="E56" s="253">
        <v>375</v>
      </c>
      <c r="F56" s="253">
        <v>400</v>
      </c>
      <c r="G56" s="97">
        <f t="shared" si="5"/>
        <v>387.5</v>
      </c>
      <c r="H56" s="69">
        <f t="shared" si="6"/>
        <v>19.38</v>
      </c>
      <c r="I56" s="216"/>
    </row>
    <row r="57" spans="1:9" ht="15">
      <c r="A57" s="227">
        <v>33.4</v>
      </c>
      <c r="B57" s="254" t="s">
        <v>320</v>
      </c>
      <c r="C57" s="249" t="s">
        <v>231</v>
      </c>
      <c r="D57" s="249" t="s">
        <v>246</v>
      </c>
      <c r="E57" s="253">
        <v>450</v>
      </c>
      <c r="F57" s="253">
        <v>400</v>
      </c>
      <c r="G57" s="97">
        <f t="shared" si="5"/>
        <v>425</v>
      </c>
      <c r="H57" s="69">
        <f t="shared" si="6"/>
        <v>21.25</v>
      </c>
      <c r="I57" s="216"/>
    </row>
    <row r="58" spans="1:9" ht="15">
      <c r="A58" s="227">
        <v>33.5</v>
      </c>
      <c r="B58" s="254" t="s">
        <v>321</v>
      </c>
      <c r="C58" s="249" t="s">
        <v>231</v>
      </c>
      <c r="D58" s="249" t="s">
        <v>46</v>
      </c>
      <c r="E58" s="253">
        <v>425</v>
      </c>
      <c r="F58" s="253">
        <v>450</v>
      </c>
      <c r="G58" s="97">
        <f t="shared" si="5"/>
        <v>437.5</v>
      </c>
      <c r="H58" s="69">
        <f t="shared" si="6"/>
        <v>1.75</v>
      </c>
      <c r="I58" s="216"/>
    </row>
    <row r="59" spans="1:9" ht="15">
      <c r="A59" s="255">
        <v>33.6</v>
      </c>
      <c r="B59" s="256" t="s">
        <v>322</v>
      </c>
      <c r="C59" s="257" t="s">
        <v>231</v>
      </c>
      <c r="D59" s="257" t="s">
        <v>246</v>
      </c>
      <c r="E59" s="258">
        <v>400</v>
      </c>
      <c r="F59" s="258">
        <v>400</v>
      </c>
      <c r="G59" s="190">
        <f t="shared" si="5"/>
        <v>400</v>
      </c>
      <c r="H59" s="69">
        <f t="shared" si="6"/>
        <v>20</v>
      </c>
      <c r="I59" s="216"/>
    </row>
    <row r="60" spans="1:9" ht="15" thickBot="1">
      <c r="A60" s="259">
        <v>33.7</v>
      </c>
      <c r="B60" s="260" t="s">
        <v>328</v>
      </c>
      <c r="C60" s="261" t="s">
        <v>231</v>
      </c>
      <c r="D60" s="261" t="s">
        <v>246</v>
      </c>
      <c r="E60" s="262">
        <v>440</v>
      </c>
      <c r="F60" s="262">
        <v>480</v>
      </c>
      <c r="G60" s="212">
        <f t="shared" si="5"/>
        <v>460</v>
      </c>
      <c r="H60" s="213">
        <f t="shared" si="6"/>
        <v>23</v>
      </c>
      <c r="I60" s="216"/>
    </row>
    <row r="61" spans="1:9" ht="15" thickTop="1">
      <c r="A61" s="255">
        <v>34</v>
      </c>
      <c r="B61" s="444" t="s">
        <v>234</v>
      </c>
      <c r="C61" s="445" t="s">
        <v>231</v>
      </c>
      <c r="D61" s="445" t="s">
        <v>245</v>
      </c>
      <c r="E61" s="253">
        <v>265</v>
      </c>
      <c r="F61" s="253">
        <v>200</v>
      </c>
      <c r="G61" s="190">
        <f t="shared" si="5"/>
        <v>232.5</v>
      </c>
      <c r="H61" s="191">
        <f>ROUND(IF(C61="TON",IF(D61="CWT",G61/(0.3*20),IF(D61="LBS",G61/(0.3*2000),IF(D61="GAL",(G61/(0.3*2000))*8,G61))),G61),2)</f>
        <v>0.39</v>
      </c>
      <c r="I61" s="216"/>
    </row>
    <row r="62" spans="1:9" ht="15">
      <c r="A62" s="255">
        <v>34.1</v>
      </c>
      <c r="B62" s="444" t="s">
        <v>313</v>
      </c>
      <c r="C62" s="445" t="s">
        <v>231</v>
      </c>
      <c r="D62" s="445" t="s">
        <v>245</v>
      </c>
      <c r="E62" s="253">
        <v>285</v>
      </c>
      <c r="F62" s="253">
        <v>200</v>
      </c>
      <c r="G62" s="190">
        <f t="shared" si="5"/>
        <v>242.5</v>
      </c>
      <c r="H62" s="191">
        <f>ROUND(IF(C62="TON",IF(D62="CWT",G62/(0.3*20),IF(D62="LBS",G62/(0.3*2000),IF(D62="GAL",(G62/(0.3*2000))*8,G62))),G62),2)</f>
        <v>0.4</v>
      </c>
      <c r="I62" s="263"/>
    </row>
    <row r="63" spans="1:9" ht="15">
      <c r="A63" s="255">
        <v>34.2</v>
      </c>
      <c r="B63" s="444" t="s">
        <v>358</v>
      </c>
      <c r="C63" s="445" t="s">
        <v>246</v>
      </c>
      <c r="D63" s="445" t="s">
        <v>246</v>
      </c>
      <c r="E63" s="253">
        <v>24</v>
      </c>
      <c r="F63" s="253">
        <v>25</v>
      </c>
      <c r="G63" s="190">
        <f t="shared" si="5"/>
        <v>24.5</v>
      </c>
      <c r="H63" s="191">
        <f>ROUND(IF(C63="TON",IF(D63="CWT",G63/(1*20),IF(D63="LBS",G63/(1*2000),IF(D63="GAL",(G63/(1*2000))*8,G63))),G63),2)</f>
        <v>24.5</v>
      </c>
      <c r="I63" s="263"/>
    </row>
    <row r="64" spans="1:9" ht="15">
      <c r="A64" s="255">
        <v>34.3</v>
      </c>
      <c r="B64" s="444" t="s">
        <v>547</v>
      </c>
      <c r="C64" s="445" t="s">
        <v>231</v>
      </c>
      <c r="D64" s="445" t="s">
        <v>245</v>
      </c>
      <c r="E64" s="253">
        <v>529</v>
      </c>
      <c r="F64" s="253">
        <v>500</v>
      </c>
      <c r="G64" s="190">
        <f>IF(E64=0,F64,IF(F64=0,E64,AVERAGE(E64,F64)))</f>
        <v>514.5</v>
      </c>
      <c r="H64" s="191">
        <f>ROUND(IF(C64="TON",IF(D64="CWT",G64/(1*20),IF(D64="LBS",G64/(1*2000),IF(D64="GAL",(G64/(1*2000))*8,G64))),G64),2)</f>
        <v>0.26</v>
      </c>
      <c r="I64" s="216"/>
    </row>
    <row r="65" spans="1:9" ht="15">
      <c r="A65" s="255">
        <v>34.4</v>
      </c>
      <c r="B65" s="444" t="s">
        <v>994</v>
      </c>
      <c r="C65" s="445" t="s">
        <v>231</v>
      </c>
      <c r="D65" s="445" t="s">
        <v>245</v>
      </c>
      <c r="E65" s="253">
        <v>325</v>
      </c>
      <c r="F65" s="253">
        <v>369</v>
      </c>
      <c r="G65" s="190">
        <f>IF(E65=0,F65,IF(F65=0,E65,AVERAGE(E65,F65)))</f>
        <v>347</v>
      </c>
      <c r="H65" s="191">
        <f>ROUND(IF(C65="TON",IF(D65="CWT",G65/(1*20),IF(D65="LBS",G65/(1*2000),IF(D65="GAL",(G65/(1*2000))*8,G65))),G65),2)/(0.46)</f>
        <v>0.3695652173913044</v>
      </c>
      <c r="I65" s="216"/>
    </row>
    <row r="66" spans="1:10" ht="15">
      <c r="A66" s="255">
        <v>35</v>
      </c>
      <c r="B66" s="444" t="s">
        <v>235</v>
      </c>
      <c r="C66" s="445" t="s">
        <v>231</v>
      </c>
      <c r="D66" s="445" t="s">
        <v>245</v>
      </c>
      <c r="E66" s="253">
        <v>300</v>
      </c>
      <c r="F66" s="253">
        <v>400</v>
      </c>
      <c r="G66" s="190">
        <f t="shared" si="5"/>
        <v>350</v>
      </c>
      <c r="H66" s="191">
        <f>ROUND(IF(C66="TON",IF(D66="CWT",G66/(0.335*20),IF(D66="LBS",G66/(0.335*2000),IF(D66="GAL",(G66/(0.335*2000))*8,G66))),G66),2)</f>
        <v>0.52</v>
      </c>
      <c r="I66" s="216"/>
      <c r="J66" s="122">
        <f>200/15.5*100</f>
        <v>1290.3225806451612</v>
      </c>
    </row>
    <row r="67" spans="1:9" ht="15">
      <c r="A67" s="255">
        <v>35.1</v>
      </c>
      <c r="B67" s="444" t="s">
        <v>323</v>
      </c>
      <c r="C67" s="445" t="s">
        <v>231</v>
      </c>
      <c r="D67" s="445" t="s">
        <v>246</v>
      </c>
      <c r="E67" s="253">
        <v>285</v>
      </c>
      <c r="F67" s="253">
        <v>335</v>
      </c>
      <c r="G67" s="190">
        <f t="shared" si="5"/>
        <v>310</v>
      </c>
      <c r="H67" s="191">
        <f>ROUND(IF(C67="TON",IF(D67="CWT",G67/(0.335*20),IF(D67="LBS",G67/(0.335*2000),IF(D67="GAL",(G67/(0.335*2000))*8,G67))),G67),2)</f>
        <v>46.27</v>
      </c>
      <c r="I67" s="216"/>
    </row>
    <row r="68" spans="1:9" ht="15">
      <c r="A68" s="255">
        <v>35.2</v>
      </c>
      <c r="B68" s="444" t="s">
        <v>324</v>
      </c>
      <c r="C68" s="445" t="s">
        <v>231</v>
      </c>
      <c r="D68" s="445" t="s">
        <v>246</v>
      </c>
      <c r="E68" s="253">
        <v>265</v>
      </c>
      <c r="F68" s="253">
        <v>200</v>
      </c>
      <c r="G68" s="190">
        <f t="shared" si="5"/>
        <v>232.5</v>
      </c>
      <c r="H68" s="191">
        <f>ROUND(IF(C68="TON",IF(D68="CWT",G68/(0.3*20),IF(D68="LBS",G68/(0.3*2000),IF(D68="GAL",(G68/(0.3*2000))*8,G68))),G68),2)</f>
        <v>38.75</v>
      </c>
      <c r="I68" s="216"/>
    </row>
    <row r="69" spans="1:9" ht="15">
      <c r="A69" s="255">
        <v>35.3</v>
      </c>
      <c r="B69" s="444" t="s">
        <v>339</v>
      </c>
      <c r="C69" s="445" t="s">
        <v>231</v>
      </c>
      <c r="D69" s="445" t="s">
        <v>245</v>
      </c>
      <c r="E69" s="253">
        <v>180</v>
      </c>
      <c r="F69" s="253">
        <v>220</v>
      </c>
      <c r="G69" s="190">
        <f t="shared" si="5"/>
        <v>200</v>
      </c>
      <c r="H69" s="191">
        <f>ROUND(IF(C69="TON",IF(D69="CWT",G69/(0.245*20),IF(D69="LBS",G69/(0.245*2000),IF(D69="GAL",(G69/(0.245*2000))*8,G69))),G69),2)</f>
        <v>0.41</v>
      </c>
      <c r="I69" s="263"/>
    </row>
    <row r="70" spans="1:9" ht="15">
      <c r="A70" s="255">
        <v>35.4</v>
      </c>
      <c r="B70" s="444" t="s">
        <v>340</v>
      </c>
      <c r="C70" s="445" t="s">
        <v>231</v>
      </c>
      <c r="D70" s="445" t="s">
        <v>246</v>
      </c>
      <c r="E70" s="253">
        <v>265</v>
      </c>
      <c r="F70" s="253">
        <v>200</v>
      </c>
      <c r="G70" s="190">
        <f t="shared" si="5"/>
        <v>232.5</v>
      </c>
      <c r="H70" s="191">
        <f>ROUND(IF(C70="TON",IF(D70="CWT",G70/(0.3*20),IF(D70="LBS",G70/(0.3*2000),IF(D70="GAL",(G70/(0.3*2000))*8,G70))),G70),2)</f>
        <v>38.75</v>
      </c>
      <c r="I70" s="263"/>
    </row>
    <row r="71" spans="1:9" ht="15">
      <c r="A71" s="255">
        <v>35.5</v>
      </c>
      <c r="B71" s="444" t="s">
        <v>341</v>
      </c>
      <c r="C71" s="445" t="s">
        <v>231</v>
      </c>
      <c r="D71" s="445" t="s">
        <v>246</v>
      </c>
      <c r="E71" s="253">
        <v>285</v>
      </c>
      <c r="F71" s="253">
        <v>200</v>
      </c>
      <c r="G71" s="190">
        <f t="shared" si="5"/>
        <v>242.5</v>
      </c>
      <c r="H71" s="191">
        <f>ROUND(IF(C71="TON",IF(D71="CWT",G71/(0.335*20),IF(D71="LBS",G71/(0.335*2000),IF(D71="GAL",(G71/(0.335*2000))*8,G71))),G71),2)</f>
        <v>36.19</v>
      </c>
      <c r="I71" s="216"/>
    </row>
    <row r="72" spans="1:9" ht="15">
      <c r="A72" s="255">
        <v>35.6</v>
      </c>
      <c r="B72" s="444" t="s">
        <v>995</v>
      </c>
      <c r="C72" s="445" t="s">
        <v>231</v>
      </c>
      <c r="D72" s="445" t="s">
        <v>245</v>
      </c>
      <c r="E72" s="253">
        <v>250</v>
      </c>
      <c r="F72" s="253">
        <v>290</v>
      </c>
      <c r="G72" s="190">
        <f t="shared" si="5"/>
        <v>270</v>
      </c>
      <c r="H72" s="191">
        <f>ROUND(IF(C72="TON",IF(D72="CWT",G72/(0.335*20),IF(D72="LBS",G72/(0.335*2000),IF(D72="GAL",(G72/(0.335*2000))*8,G72))),G72),2)</f>
        <v>0.4</v>
      </c>
      <c r="I72" s="216"/>
    </row>
    <row r="73" spans="1:9" ht="15">
      <c r="A73" s="255">
        <v>36</v>
      </c>
      <c r="B73" s="264" t="s">
        <v>359</v>
      </c>
      <c r="C73" s="265" t="s">
        <v>231</v>
      </c>
      <c r="D73" s="265" t="s">
        <v>245</v>
      </c>
      <c r="E73" s="258">
        <v>475</v>
      </c>
      <c r="F73" s="258">
        <v>475</v>
      </c>
      <c r="G73" s="190">
        <f t="shared" si="5"/>
        <v>475</v>
      </c>
      <c r="H73" s="191">
        <f>ROUND(IF(C73="TON",IF(D73="CWT",G73/(0.6*20),IF(D73="LBS",G73/(0.6*2000),IF(D73="GAL",(G73/(0.6*2000))*8,G73))),G73),2)</f>
        <v>0.4</v>
      </c>
      <c r="I73" s="216"/>
    </row>
    <row r="74" spans="1:9" ht="15">
      <c r="A74" s="255">
        <v>37</v>
      </c>
      <c r="B74" s="264" t="s">
        <v>830</v>
      </c>
      <c r="C74" s="265" t="s">
        <v>231</v>
      </c>
      <c r="D74" s="265" t="s">
        <v>245</v>
      </c>
      <c r="E74" s="258">
        <v>445</v>
      </c>
      <c r="F74" s="258">
        <v>510</v>
      </c>
      <c r="G74" s="190">
        <f t="shared" si="5"/>
        <v>477.5</v>
      </c>
      <c r="H74" s="191">
        <f>ROUND(IF(C74="TON",IF(D74="CWT",G74/(0.46*20),IF(D74="LBS",G74/(0.46*2000),IF(D74="GAL",(G74/(0.46*2000))*8,G74))),G74),2)</f>
        <v>0.52</v>
      </c>
      <c r="I74" s="216"/>
    </row>
    <row r="75" spans="1:9" ht="15.75" thickBot="1">
      <c r="A75" s="259">
        <v>37.1</v>
      </c>
      <c r="B75" s="446" t="s">
        <v>360</v>
      </c>
      <c r="C75" s="447" t="s">
        <v>231</v>
      </c>
      <c r="D75" s="447" t="s">
        <v>245</v>
      </c>
      <c r="E75" s="262">
        <v>315</v>
      </c>
      <c r="F75" s="262">
        <v>357</v>
      </c>
      <c r="G75" s="212">
        <f t="shared" si="5"/>
        <v>336</v>
      </c>
      <c r="H75" s="213">
        <f>ROUND(IF(C75="TON",IF(D75="CWT",G75/(1*20),IF(D75="LBS",G75/(1*2000),IF(D75="GAL",(G75/(1*2000))*8,G75))),G75),2)</f>
        <v>0.17</v>
      </c>
      <c r="I75" s="216"/>
    </row>
    <row r="76" spans="1:9" ht="15.75" thickTop="1">
      <c r="A76" s="227">
        <v>38</v>
      </c>
      <c r="B76" s="406" t="s">
        <v>236</v>
      </c>
      <c r="C76" s="441" t="s">
        <v>231</v>
      </c>
      <c r="D76" s="441" t="s">
        <v>246</v>
      </c>
      <c r="E76" s="267">
        <v>660</v>
      </c>
      <c r="F76" s="253">
        <v>530</v>
      </c>
      <c r="G76" s="97">
        <f t="shared" si="5"/>
        <v>595</v>
      </c>
      <c r="H76" s="191">
        <f aca="true" t="shared" si="7" ref="H76:H84">ROUND(IF(C76="TON",IF(D76="CWT",G76/20,IF(D76="LBS",G76/2000,IF(D76="GAL",(G76/2000)*8,G76))),G76),2)</f>
        <v>29.75</v>
      </c>
      <c r="I76" s="216"/>
    </row>
    <row r="77" spans="1:9" ht="15">
      <c r="A77" s="227">
        <v>39</v>
      </c>
      <c r="B77" s="406" t="s">
        <v>237</v>
      </c>
      <c r="C77" s="441" t="s">
        <v>231</v>
      </c>
      <c r="D77" s="441" t="s">
        <v>231</v>
      </c>
      <c r="E77" s="267">
        <v>35</v>
      </c>
      <c r="F77" s="253">
        <v>30</v>
      </c>
      <c r="G77" s="97">
        <f t="shared" si="5"/>
        <v>32.5</v>
      </c>
      <c r="H77" s="191">
        <f t="shared" si="7"/>
        <v>32.5</v>
      </c>
      <c r="I77" s="216"/>
    </row>
    <row r="78" spans="1:9" ht="15">
      <c r="A78" s="227">
        <v>40</v>
      </c>
      <c r="B78" s="406" t="s">
        <v>238</v>
      </c>
      <c r="C78" s="441" t="s">
        <v>231</v>
      </c>
      <c r="D78" s="441" t="s">
        <v>231</v>
      </c>
      <c r="E78" s="267">
        <v>45</v>
      </c>
      <c r="F78" s="253">
        <v>50</v>
      </c>
      <c r="G78" s="97">
        <f t="shared" si="5"/>
        <v>47.5</v>
      </c>
      <c r="H78" s="191">
        <f t="shared" si="7"/>
        <v>47.5</v>
      </c>
      <c r="I78" s="216"/>
    </row>
    <row r="79" spans="1:9" ht="15">
      <c r="A79" s="227">
        <v>41</v>
      </c>
      <c r="B79" s="406" t="s">
        <v>270</v>
      </c>
      <c r="C79" s="249" t="s">
        <v>13</v>
      </c>
      <c r="D79" s="249" t="s">
        <v>13</v>
      </c>
      <c r="E79" s="267">
        <v>8</v>
      </c>
      <c r="F79" s="253">
        <v>10</v>
      </c>
      <c r="G79" s="97">
        <f t="shared" si="5"/>
        <v>9</v>
      </c>
      <c r="H79" s="191">
        <f t="shared" si="7"/>
        <v>9</v>
      </c>
      <c r="I79" s="216"/>
    </row>
    <row r="80" spans="1:9" ht="15">
      <c r="A80" s="227">
        <v>42</v>
      </c>
      <c r="B80" s="448" t="s">
        <v>325</v>
      </c>
      <c r="C80" s="249" t="s">
        <v>231</v>
      </c>
      <c r="D80" s="249" t="s">
        <v>245</v>
      </c>
      <c r="E80" s="267">
        <v>565</v>
      </c>
      <c r="F80" s="253">
        <v>600</v>
      </c>
      <c r="G80" s="97">
        <f t="shared" si="5"/>
        <v>582.5</v>
      </c>
      <c r="H80" s="191">
        <f t="shared" si="7"/>
        <v>0.29</v>
      </c>
      <c r="I80" s="216"/>
    </row>
    <row r="81" spans="1:9" ht="15">
      <c r="A81" s="227">
        <v>43</v>
      </c>
      <c r="B81" s="254" t="s">
        <v>326</v>
      </c>
      <c r="C81" s="249" t="s">
        <v>231</v>
      </c>
      <c r="D81" s="249" t="s">
        <v>245</v>
      </c>
      <c r="E81" s="267">
        <v>450</v>
      </c>
      <c r="F81" s="253">
        <v>375</v>
      </c>
      <c r="G81" s="97">
        <f t="shared" si="5"/>
        <v>412.5</v>
      </c>
      <c r="H81" s="191">
        <f t="shared" si="7"/>
        <v>0.21</v>
      </c>
      <c r="I81" s="216"/>
    </row>
    <row r="82" spans="1:9" ht="15">
      <c r="A82" s="227">
        <v>44</v>
      </c>
      <c r="B82" s="209" t="s">
        <v>272</v>
      </c>
      <c r="C82" s="441" t="s">
        <v>46</v>
      </c>
      <c r="D82" s="249" t="s">
        <v>245</v>
      </c>
      <c r="E82" s="253">
        <v>32</v>
      </c>
      <c r="F82" s="253">
        <v>34</v>
      </c>
      <c r="G82" s="97">
        <f t="shared" si="5"/>
        <v>33</v>
      </c>
      <c r="H82" s="191">
        <f t="shared" si="7"/>
        <v>33</v>
      </c>
      <c r="I82" s="216"/>
    </row>
    <row r="83" spans="1:9" ht="15">
      <c r="A83" s="227">
        <v>44.1</v>
      </c>
      <c r="B83" s="209" t="s">
        <v>532</v>
      </c>
      <c r="C83" s="441" t="s">
        <v>70</v>
      </c>
      <c r="D83" s="249" t="s">
        <v>70</v>
      </c>
      <c r="E83" s="253">
        <v>1.5</v>
      </c>
      <c r="F83" s="253">
        <v>1.2</v>
      </c>
      <c r="G83" s="97">
        <f>IF(E83=0,F83,IF(F83=0,E83,AVERAGE(E83,F83)))</f>
        <v>1.35</v>
      </c>
      <c r="H83" s="191">
        <f t="shared" si="7"/>
        <v>1.35</v>
      </c>
      <c r="I83" s="216"/>
    </row>
    <row r="84" spans="1:9" ht="15">
      <c r="A84" s="227">
        <v>44.2</v>
      </c>
      <c r="B84" s="209" t="s">
        <v>560</v>
      </c>
      <c r="C84" s="441" t="s">
        <v>46</v>
      </c>
      <c r="D84" s="249" t="s">
        <v>245</v>
      </c>
      <c r="E84" s="267">
        <v>16.75</v>
      </c>
      <c r="F84" s="253">
        <v>15</v>
      </c>
      <c r="G84" s="97">
        <f>IF(E84=0,F84,IF(F84=0,E84,AVERAGE(E84,F84)))</f>
        <v>15.875</v>
      </c>
      <c r="H84" s="191">
        <f t="shared" si="7"/>
        <v>15.88</v>
      </c>
      <c r="I84" s="216"/>
    </row>
    <row r="85" spans="1:9" ht="15">
      <c r="A85" s="120"/>
      <c r="B85" s="209"/>
      <c r="C85" s="249"/>
      <c r="D85" s="249"/>
      <c r="E85" s="253"/>
      <c r="F85" s="253"/>
      <c r="G85" s="97"/>
      <c r="H85" s="69"/>
      <c r="I85" s="216"/>
    </row>
    <row r="86" spans="1:9" ht="15.75">
      <c r="A86" s="92" t="s">
        <v>361</v>
      </c>
      <c r="B86" s="268"/>
      <c r="C86" s="268"/>
      <c r="D86" s="268"/>
      <c r="E86" s="391"/>
      <c r="F86" s="391"/>
      <c r="G86" s="96"/>
      <c r="H86" s="69"/>
      <c r="I86" s="216"/>
    </row>
    <row r="87" spans="1:9" ht="15">
      <c r="A87" s="227">
        <v>45</v>
      </c>
      <c r="B87" s="406" t="s">
        <v>523</v>
      </c>
      <c r="C87" s="441" t="s">
        <v>245</v>
      </c>
      <c r="D87" s="441" t="s">
        <v>245</v>
      </c>
      <c r="E87" s="253">
        <v>1.75</v>
      </c>
      <c r="F87" s="253">
        <v>1</v>
      </c>
      <c r="G87" s="97">
        <f aca="true" t="shared" si="8" ref="G87:G94">IF(E87=0,F87,IF(F87=0,E87,AVERAGE(E87,F87)))</f>
        <v>1.375</v>
      </c>
      <c r="H87" s="69">
        <f>ROUND(IF(C87=D87,G87,0),2)</f>
        <v>1.38</v>
      </c>
      <c r="I87" s="216"/>
    </row>
    <row r="88" spans="1:9" ht="15">
      <c r="A88" s="227">
        <v>46</v>
      </c>
      <c r="B88" s="406" t="s">
        <v>375</v>
      </c>
      <c r="C88" s="441" t="s">
        <v>245</v>
      </c>
      <c r="D88" s="441" t="s">
        <v>245</v>
      </c>
      <c r="E88" s="253">
        <v>2.5</v>
      </c>
      <c r="F88" s="253">
        <v>4</v>
      </c>
      <c r="G88" s="97">
        <f t="shared" si="8"/>
        <v>3.25</v>
      </c>
      <c r="H88" s="69">
        <f>ROUND(IF(C88=D88,G88,0),2)</f>
        <v>3.25</v>
      </c>
      <c r="I88" s="216"/>
    </row>
    <row r="89" spans="1:9" ht="15">
      <c r="A89" s="227">
        <v>47</v>
      </c>
      <c r="B89" s="406" t="s">
        <v>524</v>
      </c>
      <c r="C89" s="441" t="s">
        <v>245</v>
      </c>
      <c r="D89" s="441" t="s">
        <v>245</v>
      </c>
      <c r="E89" s="253">
        <v>5</v>
      </c>
      <c r="F89" s="253">
        <v>5</v>
      </c>
      <c r="G89" s="97">
        <f t="shared" si="8"/>
        <v>5</v>
      </c>
      <c r="H89" s="69">
        <f>ROUND(IF(C89=D89,G89,0),2)</f>
        <v>5</v>
      </c>
      <c r="I89" s="216"/>
    </row>
    <row r="90" spans="1:9" ht="15">
      <c r="A90" s="227">
        <v>48</v>
      </c>
      <c r="B90" s="406" t="s">
        <v>315</v>
      </c>
      <c r="C90" s="441" t="s">
        <v>245</v>
      </c>
      <c r="D90" s="441" t="s">
        <v>245</v>
      </c>
      <c r="E90" s="253">
        <v>3.5</v>
      </c>
      <c r="F90" s="253">
        <v>4</v>
      </c>
      <c r="G90" s="97">
        <f t="shared" si="8"/>
        <v>3.75</v>
      </c>
      <c r="H90" s="69">
        <f>ROUND(IF(C90=D90,G90,0),2)</f>
        <v>3.75</v>
      </c>
      <c r="I90" s="216"/>
    </row>
    <row r="91" spans="1:9" ht="15">
      <c r="A91" s="227">
        <v>49</v>
      </c>
      <c r="B91" s="406" t="s">
        <v>295</v>
      </c>
      <c r="C91" s="441" t="s">
        <v>245</v>
      </c>
      <c r="D91" s="441" t="s">
        <v>245</v>
      </c>
      <c r="E91" s="253">
        <v>1.4</v>
      </c>
      <c r="F91" s="253">
        <v>1.2</v>
      </c>
      <c r="G91" s="97">
        <f t="shared" si="8"/>
        <v>1.2999999999999998</v>
      </c>
      <c r="H91" s="69">
        <f>ROUND(IF(C91=D91,G91,0),2)</f>
        <v>1.3</v>
      </c>
      <c r="I91" s="216"/>
    </row>
    <row r="92" spans="1:9" ht="15">
      <c r="A92" s="227">
        <v>50</v>
      </c>
      <c r="B92" s="406" t="s">
        <v>296</v>
      </c>
      <c r="C92" s="441" t="s">
        <v>245</v>
      </c>
      <c r="D92" s="441" t="s">
        <v>245</v>
      </c>
      <c r="E92" s="253">
        <v>1.2</v>
      </c>
      <c r="F92" s="253">
        <v>1</v>
      </c>
      <c r="G92" s="97">
        <f t="shared" si="8"/>
        <v>1.1</v>
      </c>
      <c r="H92" s="69">
        <f>ROUND(IF(C92=D92,G92,0),3)</f>
        <v>1.1</v>
      </c>
      <c r="I92" s="216"/>
    </row>
    <row r="93" spans="1:9" ht="15">
      <c r="A93" s="227">
        <v>51</v>
      </c>
      <c r="B93" s="406" t="s">
        <v>297</v>
      </c>
      <c r="C93" s="441" t="s">
        <v>9</v>
      </c>
      <c r="D93" s="441" t="s">
        <v>9</v>
      </c>
      <c r="E93" s="253">
        <v>26</v>
      </c>
      <c r="F93" s="253">
        <v>22</v>
      </c>
      <c r="G93" s="97">
        <f t="shared" si="8"/>
        <v>24</v>
      </c>
      <c r="H93" s="69">
        <f>ROUND(IF(C93=D93,G93,0),2)</f>
        <v>24</v>
      </c>
      <c r="I93" s="216"/>
    </row>
    <row r="94" spans="1:9" ht="15">
      <c r="A94" s="227">
        <v>52</v>
      </c>
      <c r="B94" s="406" t="s">
        <v>298</v>
      </c>
      <c r="C94" s="441" t="s">
        <v>245</v>
      </c>
      <c r="D94" s="441" t="s">
        <v>245</v>
      </c>
      <c r="E94" s="253">
        <v>0.9</v>
      </c>
      <c r="F94" s="253">
        <v>0.85</v>
      </c>
      <c r="G94" s="97">
        <f t="shared" si="8"/>
        <v>0.875</v>
      </c>
      <c r="H94" s="69">
        <f>ROUND(IF(C94=D94,G94,0),2)</f>
        <v>0.88</v>
      </c>
      <c r="I94" s="216"/>
    </row>
    <row r="95" spans="1:9" ht="15">
      <c r="A95" s="269"/>
      <c r="B95" s="209"/>
      <c r="C95" s="249"/>
      <c r="D95" s="249"/>
      <c r="E95" s="253"/>
      <c r="F95" s="253"/>
      <c r="G95" s="97"/>
      <c r="H95" s="69"/>
      <c r="I95" s="216"/>
    </row>
    <row r="96" spans="1:9" ht="15">
      <c r="A96" s="269"/>
      <c r="B96" s="209"/>
      <c r="C96" s="249"/>
      <c r="D96" s="249"/>
      <c r="E96" s="253"/>
      <c r="F96" s="253"/>
      <c r="G96" s="97"/>
      <c r="H96" s="69"/>
      <c r="I96" s="216"/>
    </row>
    <row r="97" spans="1:9" ht="15">
      <c r="A97" s="269"/>
      <c r="B97" s="209"/>
      <c r="C97" s="249"/>
      <c r="D97" s="249"/>
      <c r="E97" s="253"/>
      <c r="F97" s="253"/>
      <c r="G97" s="97"/>
      <c r="H97" s="69"/>
      <c r="I97" s="216"/>
    </row>
    <row r="98" spans="1:9" ht="15">
      <c r="A98" s="269"/>
      <c r="B98" s="209"/>
      <c r="C98" s="249"/>
      <c r="D98" s="249"/>
      <c r="E98" s="253"/>
      <c r="F98" s="253"/>
      <c r="G98" s="97"/>
      <c r="H98" s="69"/>
      <c r="I98" s="216"/>
    </row>
    <row r="99" spans="1:9" ht="15">
      <c r="A99" s="269"/>
      <c r="B99" s="209"/>
      <c r="C99" s="449"/>
      <c r="D99" s="450"/>
      <c r="E99" s="392"/>
      <c r="F99" s="253"/>
      <c r="G99" s="97"/>
      <c r="H99" s="69"/>
      <c r="I99" s="216"/>
    </row>
    <row r="100" spans="1:9" ht="15">
      <c r="A100" s="269"/>
      <c r="B100" s="209"/>
      <c r="C100" s="449"/>
      <c r="D100" s="450"/>
      <c r="E100" s="392"/>
      <c r="F100" s="253"/>
      <c r="G100" s="97"/>
      <c r="H100" s="69"/>
      <c r="I100" s="216"/>
    </row>
    <row r="101" spans="1:9" ht="15">
      <c r="A101" s="269"/>
      <c r="B101" s="209"/>
      <c r="C101" s="449"/>
      <c r="D101" s="450"/>
      <c r="E101" s="392"/>
      <c r="F101" s="253"/>
      <c r="G101" s="97"/>
      <c r="H101" s="69"/>
      <c r="I101" s="216"/>
    </row>
    <row r="102" spans="1:9" ht="15">
      <c r="A102" s="269"/>
      <c r="B102" s="209"/>
      <c r="C102" s="449"/>
      <c r="D102" s="450"/>
      <c r="E102" s="392"/>
      <c r="F102" s="253"/>
      <c r="G102" s="97"/>
      <c r="H102" s="69"/>
      <c r="I102" s="216"/>
    </row>
    <row r="103" spans="1:9" ht="15">
      <c r="A103" s="269"/>
      <c r="B103" s="209"/>
      <c r="C103" s="449"/>
      <c r="D103" s="450"/>
      <c r="E103" s="392"/>
      <c r="F103" s="253"/>
      <c r="G103" s="97"/>
      <c r="H103" s="69"/>
      <c r="I103" s="216"/>
    </row>
    <row r="104" spans="1:9" ht="15">
      <c r="A104" s="269"/>
      <c r="B104" s="209"/>
      <c r="C104" s="449"/>
      <c r="D104" s="450"/>
      <c r="E104" s="392"/>
      <c r="F104" s="253"/>
      <c r="G104" s="97"/>
      <c r="H104" s="69"/>
      <c r="I104" s="216"/>
    </row>
    <row r="105" spans="1:9" ht="15">
      <c r="A105" s="269"/>
      <c r="B105" s="209"/>
      <c r="C105" s="449"/>
      <c r="D105" s="450"/>
      <c r="E105" s="392"/>
      <c r="F105" s="253"/>
      <c r="G105" s="97"/>
      <c r="H105" s="69"/>
      <c r="I105" s="216"/>
    </row>
    <row r="106" spans="1:9" ht="15">
      <c r="A106" s="269"/>
      <c r="B106" s="209"/>
      <c r="C106" s="449"/>
      <c r="D106" s="450"/>
      <c r="E106" s="372"/>
      <c r="F106" s="211"/>
      <c r="G106" s="97"/>
      <c r="H106" s="69"/>
      <c r="I106" s="216"/>
    </row>
    <row r="107" spans="1:9" ht="15">
      <c r="A107" s="269"/>
      <c r="B107" s="209"/>
      <c r="C107" s="449"/>
      <c r="D107" s="450"/>
      <c r="E107" s="372"/>
      <c r="F107" s="211"/>
      <c r="G107" s="97"/>
      <c r="H107" s="69"/>
      <c r="I107" s="216"/>
    </row>
    <row r="108" spans="1:9" ht="15">
      <c r="A108" s="269"/>
      <c r="B108" s="209"/>
      <c r="C108" s="449"/>
      <c r="D108" s="450"/>
      <c r="E108" s="372"/>
      <c r="F108" s="211"/>
      <c r="G108" s="97"/>
      <c r="H108" s="69"/>
      <c r="I108" s="216"/>
    </row>
    <row r="109" spans="1:9" ht="15">
      <c r="A109" s="269"/>
      <c r="B109" s="209"/>
      <c r="C109" s="449"/>
      <c r="D109" s="450"/>
      <c r="E109" s="372"/>
      <c r="F109" s="83"/>
      <c r="G109" s="80"/>
      <c r="H109" s="69"/>
      <c r="I109" s="216"/>
    </row>
    <row r="110" spans="1:9" ht="15">
      <c r="A110" s="269"/>
      <c r="B110" s="209"/>
      <c r="C110" s="449"/>
      <c r="D110" s="450"/>
      <c r="E110" s="372"/>
      <c r="F110" s="83"/>
      <c r="G110" s="80"/>
      <c r="H110" s="69"/>
      <c r="I110" s="216"/>
    </row>
    <row r="111" spans="1:9" ht="15">
      <c r="A111" s="314"/>
      <c r="B111" s="209"/>
      <c r="C111" s="449"/>
      <c r="D111" s="450"/>
      <c r="E111" s="372"/>
      <c r="F111" s="83"/>
      <c r="G111" s="80"/>
      <c r="H111" s="69"/>
      <c r="I111" s="216"/>
    </row>
    <row r="112" spans="1:9" ht="15">
      <c r="A112" s="314"/>
      <c r="B112" s="209"/>
      <c r="C112" s="449"/>
      <c r="D112" s="450"/>
      <c r="E112" s="372"/>
      <c r="F112" s="83"/>
      <c r="G112" s="80"/>
      <c r="H112" s="69"/>
      <c r="I112" s="216"/>
    </row>
    <row r="113" spans="1:9" ht="15">
      <c r="A113" s="314"/>
      <c r="B113" s="406"/>
      <c r="C113" s="409"/>
      <c r="D113" s="409"/>
      <c r="E113" s="373"/>
      <c r="F113" s="83"/>
      <c r="G113" s="80"/>
      <c r="H113" s="69"/>
      <c r="I113" s="216"/>
    </row>
    <row r="114" spans="1:9" ht="15">
      <c r="A114" s="314"/>
      <c r="B114" s="209"/>
      <c r="C114" s="374"/>
      <c r="D114" s="409"/>
      <c r="E114" s="373"/>
      <c r="F114" s="83"/>
      <c r="G114" s="80"/>
      <c r="H114" s="69"/>
      <c r="I114" s="216"/>
    </row>
    <row r="115" spans="1:9" ht="15">
      <c r="A115" s="314"/>
      <c r="B115" s="209"/>
      <c r="C115" s="449"/>
      <c r="D115" s="450"/>
      <c r="E115" s="372"/>
      <c r="F115" s="83"/>
      <c r="G115" s="80"/>
      <c r="H115" s="69"/>
      <c r="I115" s="216"/>
    </row>
    <row r="116" spans="1:9" ht="15">
      <c r="A116" s="123"/>
      <c r="B116" s="214"/>
      <c r="C116" s="449"/>
      <c r="D116" s="450"/>
      <c r="E116" s="372"/>
      <c r="F116" s="214"/>
      <c r="G116" s="123"/>
      <c r="H116" s="123"/>
      <c r="I116" s="216"/>
    </row>
    <row r="117" spans="1:9" ht="15">
      <c r="A117" s="123"/>
      <c r="B117" s="214"/>
      <c r="C117" s="449"/>
      <c r="D117" s="450"/>
      <c r="E117" s="372"/>
      <c r="F117" s="214"/>
      <c r="G117" s="123"/>
      <c r="H117" s="123"/>
      <c r="I117" s="216"/>
    </row>
    <row r="118" spans="1:9" ht="15">
      <c r="A118" s="123"/>
      <c r="B118" s="214"/>
      <c r="C118" s="449"/>
      <c r="D118" s="450"/>
      <c r="E118" s="372"/>
      <c r="F118" s="214"/>
      <c r="G118" s="123"/>
      <c r="H118" s="123"/>
      <c r="I118" s="216"/>
    </row>
    <row r="119" spans="1:9" ht="15">
      <c r="A119" s="123"/>
      <c r="B119" s="214"/>
      <c r="C119" s="449"/>
      <c r="D119" s="450"/>
      <c r="E119" s="372"/>
      <c r="F119" s="214"/>
      <c r="G119" s="123"/>
      <c r="H119" s="123"/>
      <c r="I119" s="216"/>
    </row>
    <row r="120" spans="1:9" ht="15">
      <c r="A120" s="123"/>
      <c r="B120" s="214"/>
      <c r="C120" s="449"/>
      <c r="D120" s="450"/>
      <c r="E120" s="372"/>
      <c r="F120" s="214"/>
      <c r="G120" s="123"/>
      <c r="H120" s="123"/>
      <c r="I120" s="216"/>
    </row>
    <row r="121" spans="1:9" ht="15">
      <c r="A121" s="123"/>
      <c r="B121" s="214"/>
      <c r="C121" s="449"/>
      <c r="D121" s="450"/>
      <c r="E121" s="372"/>
      <c r="F121" s="214"/>
      <c r="G121" s="123"/>
      <c r="H121" s="123"/>
      <c r="I121" s="216"/>
    </row>
    <row r="122" spans="1:9" ht="15">
      <c r="A122" s="123"/>
      <c r="B122" s="214"/>
      <c r="C122" s="214"/>
      <c r="D122" s="214"/>
      <c r="E122" s="214"/>
      <c r="F122" s="214"/>
      <c r="G122" s="123"/>
      <c r="H122" s="123"/>
      <c r="I122" s="216"/>
    </row>
    <row r="123" spans="1:9" ht="15">
      <c r="A123" s="123"/>
      <c r="B123" s="214"/>
      <c r="C123" s="214"/>
      <c r="D123" s="214"/>
      <c r="E123" s="214"/>
      <c r="F123" s="214"/>
      <c r="G123" s="123"/>
      <c r="H123" s="123"/>
      <c r="I123" s="216"/>
    </row>
    <row r="124" spans="1:9" ht="15">
      <c r="A124" s="123"/>
      <c r="B124" s="214"/>
      <c r="C124" s="214"/>
      <c r="D124" s="214"/>
      <c r="E124" s="214"/>
      <c r="F124" s="214"/>
      <c r="G124" s="123"/>
      <c r="H124" s="123"/>
      <c r="I124" s="216"/>
    </row>
    <row r="125" spans="1:9" ht="15">
      <c r="A125" s="123"/>
      <c r="B125" s="214"/>
      <c r="C125" s="214"/>
      <c r="D125" s="214"/>
      <c r="E125" s="214"/>
      <c r="F125" s="214"/>
      <c r="G125" s="123"/>
      <c r="H125" s="123"/>
      <c r="I125" s="216"/>
    </row>
    <row r="126" spans="1:9" ht="15">
      <c r="A126" s="123"/>
      <c r="B126" s="214"/>
      <c r="C126" s="214"/>
      <c r="D126" s="214"/>
      <c r="E126" s="214"/>
      <c r="F126" s="214"/>
      <c r="G126" s="123"/>
      <c r="H126" s="123"/>
      <c r="I126" s="216"/>
    </row>
    <row r="127" spans="1:9" ht="15">
      <c r="A127" s="123"/>
      <c r="B127" s="214"/>
      <c r="C127" s="214"/>
      <c r="D127" s="214"/>
      <c r="E127" s="214"/>
      <c r="F127" s="214"/>
      <c r="G127" s="123"/>
      <c r="H127" s="123"/>
      <c r="I127" s="216"/>
    </row>
    <row r="128" spans="1:9" ht="15">
      <c r="A128" s="123"/>
      <c r="B128" s="214"/>
      <c r="C128" s="214"/>
      <c r="D128" s="214"/>
      <c r="E128" s="214"/>
      <c r="F128" s="214"/>
      <c r="G128" s="123"/>
      <c r="H128" s="123"/>
      <c r="I128" s="216"/>
    </row>
    <row r="129" spans="1:9" ht="15">
      <c r="A129" s="123"/>
      <c r="B129" s="214"/>
      <c r="C129" s="214"/>
      <c r="D129" s="214"/>
      <c r="E129" s="214"/>
      <c r="F129" s="214"/>
      <c r="G129" s="123"/>
      <c r="H129" s="123"/>
      <c r="I129" s="216"/>
    </row>
    <row r="130" spans="1:9" ht="15">
      <c r="A130" s="123"/>
      <c r="B130" s="214"/>
      <c r="C130" s="214"/>
      <c r="D130" s="214"/>
      <c r="E130" s="214"/>
      <c r="F130" s="214"/>
      <c r="G130" s="123"/>
      <c r="H130" s="123"/>
      <c r="I130" s="216"/>
    </row>
    <row r="131" spans="1:9" ht="15">
      <c r="A131" s="123"/>
      <c r="B131" s="214"/>
      <c r="C131" s="214"/>
      <c r="D131" s="214"/>
      <c r="E131" s="214"/>
      <c r="F131" s="214"/>
      <c r="G131" s="123"/>
      <c r="H131" s="123"/>
      <c r="I131" s="216"/>
    </row>
    <row r="132" spans="1:9" ht="15">
      <c r="A132" s="123"/>
      <c r="B132" s="214"/>
      <c r="C132" s="214"/>
      <c r="D132" s="214"/>
      <c r="E132" s="214"/>
      <c r="F132" s="214"/>
      <c r="G132" s="123"/>
      <c r="H132" s="123"/>
      <c r="I132" s="216"/>
    </row>
    <row r="133" spans="1:9" ht="15">
      <c r="A133" s="123"/>
      <c r="B133" s="214"/>
      <c r="C133" s="214"/>
      <c r="D133" s="214"/>
      <c r="E133" s="214"/>
      <c r="F133" s="214"/>
      <c r="G133" s="123"/>
      <c r="H133" s="123"/>
      <c r="I133" s="216"/>
    </row>
    <row r="134" spans="1:9" ht="15">
      <c r="A134" s="123"/>
      <c r="B134" s="214"/>
      <c r="C134" s="214"/>
      <c r="D134" s="214"/>
      <c r="E134" s="214"/>
      <c r="F134" s="214"/>
      <c r="G134" s="123"/>
      <c r="H134" s="123"/>
      <c r="I134" s="216"/>
    </row>
    <row r="135" spans="1:9" ht="15">
      <c r="A135" s="123"/>
      <c r="B135" s="214"/>
      <c r="C135" s="214"/>
      <c r="D135" s="214"/>
      <c r="E135" s="214"/>
      <c r="F135" s="214"/>
      <c r="G135" s="123"/>
      <c r="H135" s="123"/>
      <c r="I135" s="216"/>
    </row>
    <row r="136" spans="1:9" ht="15">
      <c r="A136" s="123"/>
      <c r="B136" s="214"/>
      <c r="C136" s="214"/>
      <c r="D136" s="214"/>
      <c r="E136" s="214"/>
      <c r="F136" s="214"/>
      <c r="G136" s="123"/>
      <c r="H136" s="123"/>
      <c r="I136" s="216"/>
    </row>
    <row r="137" spans="1:9" ht="15">
      <c r="A137" s="123"/>
      <c r="B137" s="214"/>
      <c r="C137" s="214"/>
      <c r="D137" s="214"/>
      <c r="E137" s="214"/>
      <c r="F137" s="214"/>
      <c r="G137" s="123"/>
      <c r="H137" s="123"/>
      <c r="I137" s="216"/>
    </row>
    <row r="138" spans="1:9" ht="15">
      <c r="A138" s="123"/>
      <c r="B138" s="214"/>
      <c r="C138" s="214"/>
      <c r="D138" s="214"/>
      <c r="E138" s="214"/>
      <c r="F138" s="214"/>
      <c r="G138" s="123"/>
      <c r="H138" s="123"/>
      <c r="I138" s="216"/>
    </row>
    <row r="139" spans="1:9" ht="15">
      <c r="A139" s="123"/>
      <c r="B139" s="214"/>
      <c r="C139" s="214"/>
      <c r="D139" s="214"/>
      <c r="E139" s="214"/>
      <c r="F139" s="214"/>
      <c r="G139" s="123"/>
      <c r="H139" s="123"/>
      <c r="I139" s="216"/>
    </row>
    <row r="140" spans="1:9" ht="15">
      <c r="A140" s="123"/>
      <c r="B140" s="214"/>
      <c r="C140" s="214"/>
      <c r="D140" s="214"/>
      <c r="E140" s="214"/>
      <c r="F140" s="214"/>
      <c r="G140" s="123"/>
      <c r="H140" s="123"/>
      <c r="I140" s="216"/>
    </row>
    <row r="141" spans="1:9" ht="15">
      <c r="A141" s="123"/>
      <c r="B141" s="214"/>
      <c r="C141" s="214"/>
      <c r="D141" s="214"/>
      <c r="E141" s="214"/>
      <c r="F141" s="214"/>
      <c r="G141" s="123"/>
      <c r="H141" s="123"/>
      <c r="I141" s="216"/>
    </row>
    <row r="142" spans="1:9" ht="15">
      <c r="A142" s="123"/>
      <c r="B142" s="214"/>
      <c r="C142" s="214"/>
      <c r="D142" s="214"/>
      <c r="E142" s="214"/>
      <c r="F142" s="214"/>
      <c r="G142" s="123"/>
      <c r="H142" s="123"/>
      <c r="I142" s="216"/>
    </row>
    <row r="143" spans="1:9" ht="15">
      <c r="A143" s="123"/>
      <c r="B143" s="214"/>
      <c r="C143" s="214"/>
      <c r="D143" s="214"/>
      <c r="E143" s="214"/>
      <c r="F143" s="214"/>
      <c r="G143" s="123"/>
      <c r="H143" s="123"/>
      <c r="I143" s="216"/>
    </row>
    <row r="144" spans="1:9" ht="15">
      <c r="A144" s="123"/>
      <c r="B144" s="214"/>
      <c r="C144" s="214"/>
      <c r="D144" s="214"/>
      <c r="E144" s="214"/>
      <c r="F144" s="214"/>
      <c r="G144" s="123"/>
      <c r="H144" s="123"/>
      <c r="I144" s="216"/>
    </row>
    <row r="145" spans="1:9" ht="15">
      <c r="A145" s="123"/>
      <c r="B145" s="214"/>
      <c r="C145" s="214"/>
      <c r="D145" s="214"/>
      <c r="E145" s="214"/>
      <c r="F145" s="214"/>
      <c r="G145" s="123"/>
      <c r="H145" s="123"/>
      <c r="I145" s="216"/>
    </row>
    <row r="146" spans="1:9" ht="15">
      <c r="A146" s="123"/>
      <c r="B146" s="214"/>
      <c r="C146" s="214"/>
      <c r="D146" s="214"/>
      <c r="E146" s="214"/>
      <c r="F146" s="214"/>
      <c r="G146" s="123"/>
      <c r="H146" s="123"/>
      <c r="I146" s="216"/>
    </row>
    <row r="147" spans="1:9" ht="15">
      <c r="A147" s="123"/>
      <c r="B147" s="214"/>
      <c r="C147" s="214"/>
      <c r="D147" s="214"/>
      <c r="E147" s="214"/>
      <c r="F147" s="214"/>
      <c r="G147" s="123"/>
      <c r="H147" s="123"/>
      <c r="I147" s="216"/>
    </row>
    <row r="148" spans="1:9" ht="15">
      <c r="A148" s="123"/>
      <c r="B148" s="214"/>
      <c r="C148" s="214"/>
      <c r="D148" s="214"/>
      <c r="E148" s="214"/>
      <c r="F148" s="214"/>
      <c r="G148" s="123"/>
      <c r="H148" s="123"/>
      <c r="I148" s="216"/>
    </row>
    <row r="149" spans="1:8" ht="15">
      <c r="A149" s="123"/>
      <c r="B149" s="214"/>
      <c r="C149" s="214"/>
      <c r="D149" s="214"/>
      <c r="E149" s="214"/>
      <c r="F149" s="214"/>
      <c r="G149" s="123"/>
      <c r="H149" s="123"/>
    </row>
    <row r="150" spans="1:8" ht="15">
      <c r="A150" s="123"/>
      <c r="B150" s="214"/>
      <c r="C150" s="214"/>
      <c r="D150" s="214"/>
      <c r="E150" s="214"/>
      <c r="F150" s="214"/>
      <c r="G150" s="123"/>
      <c r="H150" s="12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0"/>
  <sheetViews>
    <sheetView zoomScale="75" zoomScaleNormal="75" zoomScalePageLayoutView="0" workbookViewId="0" topLeftCell="A138">
      <selection activeCell="A163" sqref="A163"/>
    </sheetView>
  </sheetViews>
  <sheetFormatPr defaultColWidth="8.88671875" defaultRowHeight="15"/>
  <cols>
    <col min="1" max="1" width="54.21484375" style="1" customWidth="1"/>
    <col min="2" max="4" width="8.88671875" style="1" customWidth="1"/>
    <col min="5" max="5" width="11.4453125" style="1" customWidth="1"/>
    <col min="6" max="16384" width="8.88671875" style="1" customWidth="1"/>
  </cols>
  <sheetData>
    <row r="1" spans="1:7" ht="15" thickBot="1">
      <c r="A1" s="453" t="s">
        <v>187</v>
      </c>
      <c r="B1" s="94"/>
      <c r="C1" s="454"/>
      <c r="D1" s="454"/>
      <c r="E1" s="455"/>
      <c r="F1" s="90"/>
      <c r="G1" s="90"/>
    </row>
    <row r="2" spans="1:7" ht="15.75" thickBot="1" thickTop="1">
      <c r="A2" s="456" t="s">
        <v>51</v>
      </c>
      <c r="B2" s="457"/>
      <c r="C2" s="95"/>
      <c r="D2" s="456"/>
      <c r="E2" s="458" t="s">
        <v>188</v>
      </c>
      <c r="F2" s="90"/>
      <c r="G2" s="90"/>
    </row>
    <row r="3" spans="1:7" ht="15" thickTop="1">
      <c r="A3" s="90"/>
      <c r="B3" s="90"/>
      <c r="C3" s="90"/>
      <c r="D3" s="90"/>
      <c r="E3" s="90"/>
      <c r="F3" s="90"/>
      <c r="G3" s="90"/>
    </row>
    <row r="4" spans="1:7" ht="15">
      <c r="A4" s="209" t="s">
        <v>189</v>
      </c>
      <c r="B4" s="209"/>
      <c r="C4" s="209"/>
      <c r="D4" s="209"/>
      <c r="E4" s="211">
        <v>5</v>
      </c>
      <c r="F4" s="90"/>
      <c r="G4" s="90"/>
    </row>
    <row r="5" spans="1:7" ht="15">
      <c r="A5" s="209" t="s">
        <v>314</v>
      </c>
      <c r="B5" s="209"/>
      <c r="C5" s="209"/>
      <c r="D5" s="209"/>
      <c r="E5" s="211">
        <v>6</v>
      </c>
      <c r="F5" s="90"/>
      <c r="G5" s="90"/>
    </row>
    <row r="6" spans="1:7" ht="15">
      <c r="A6" s="209" t="s">
        <v>190</v>
      </c>
      <c r="B6" s="209"/>
      <c r="C6" s="209"/>
      <c r="D6" s="209"/>
      <c r="E6" s="384">
        <v>0</v>
      </c>
      <c r="F6" s="278"/>
      <c r="G6" s="90"/>
    </row>
    <row r="7" spans="1:7" ht="15">
      <c r="A7" s="209" t="s">
        <v>191</v>
      </c>
      <c r="B7" s="209"/>
      <c r="C7" s="209"/>
      <c r="D7" s="209"/>
      <c r="E7" s="384">
        <v>2.1</v>
      </c>
      <c r="F7" s="90"/>
      <c r="G7" s="90"/>
    </row>
    <row r="8" spans="1:7" ht="15">
      <c r="A8" s="209" t="s">
        <v>192</v>
      </c>
      <c r="B8" s="209"/>
      <c r="C8" s="209"/>
      <c r="D8" s="209"/>
      <c r="E8" s="384">
        <v>1.9</v>
      </c>
      <c r="F8" s="90"/>
      <c r="G8" s="90"/>
    </row>
    <row r="9" spans="1:7" ht="15">
      <c r="A9" s="209" t="s">
        <v>193</v>
      </c>
      <c r="B9" s="209"/>
      <c r="C9" s="209"/>
      <c r="D9" s="209"/>
      <c r="E9" s="384">
        <v>1.1</v>
      </c>
      <c r="F9" s="90"/>
      <c r="G9" s="90"/>
    </row>
    <row r="10" spans="1:7" ht="15">
      <c r="A10" s="209" t="s">
        <v>194</v>
      </c>
      <c r="B10" s="209"/>
      <c r="C10" s="209"/>
      <c r="D10" s="209"/>
      <c r="E10" s="211">
        <v>15</v>
      </c>
      <c r="F10" s="90"/>
      <c r="G10" s="90"/>
    </row>
    <row r="11" spans="1:7" ht="15">
      <c r="A11" s="209" t="s">
        <v>195</v>
      </c>
      <c r="B11" s="209"/>
      <c r="C11" s="209"/>
      <c r="D11" s="209"/>
      <c r="E11" s="384">
        <v>11.25</v>
      </c>
      <c r="F11" s="90"/>
      <c r="G11" s="90"/>
    </row>
    <row r="12" spans="1:7" ht="15">
      <c r="A12" s="209" t="s">
        <v>196</v>
      </c>
      <c r="B12" s="209"/>
      <c r="C12" s="209"/>
      <c r="D12" s="209"/>
      <c r="E12" s="279">
        <v>0.048</v>
      </c>
      <c r="F12" s="90"/>
      <c r="G12" s="365"/>
    </row>
    <row r="13" spans="1:7" ht="15">
      <c r="A13" s="209" t="s">
        <v>197</v>
      </c>
      <c r="B13" s="209"/>
      <c r="C13" s="209"/>
      <c r="D13" s="209"/>
      <c r="E13" s="279">
        <v>0.068</v>
      </c>
      <c r="F13" s="90"/>
      <c r="G13" s="90"/>
    </row>
    <row r="14" spans="1:7" ht="15">
      <c r="A14" s="209" t="s">
        <v>198</v>
      </c>
      <c r="B14" s="209"/>
      <c r="C14" s="209"/>
      <c r="D14" s="209"/>
      <c r="E14" s="211">
        <v>0.08</v>
      </c>
      <c r="F14" s="90"/>
      <c r="G14" s="90"/>
    </row>
    <row r="15" spans="1:7" ht="15">
      <c r="A15" s="209" t="s">
        <v>199</v>
      </c>
      <c r="B15" s="209"/>
      <c r="C15" s="209"/>
      <c r="D15" s="209"/>
      <c r="E15" s="211">
        <v>1.1</v>
      </c>
      <c r="F15" s="90"/>
      <c r="G15" s="90"/>
    </row>
    <row r="16" spans="1:7" ht="15">
      <c r="A16" s="209" t="s">
        <v>200</v>
      </c>
      <c r="B16" s="209"/>
      <c r="C16" s="209"/>
      <c r="D16" s="209"/>
      <c r="E16" s="211">
        <v>1.25</v>
      </c>
      <c r="F16" s="90"/>
      <c r="G16" s="90"/>
    </row>
    <row r="17" spans="1:7" ht="15">
      <c r="A17" s="209" t="s">
        <v>201</v>
      </c>
      <c r="B17" s="209"/>
      <c r="C17" s="209"/>
      <c r="D17" s="209"/>
      <c r="E17" s="211">
        <v>5.5</v>
      </c>
      <c r="F17" s="90"/>
      <c r="G17" s="90"/>
    </row>
    <row r="18" spans="1:7" ht="15">
      <c r="A18" s="209" t="s">
        <v>202</v>
      </c>
      <c r="B18" s="209"/>
      <c r="C18" s="209"/>
      <c r="D18" s="209"/>
      <c r="E18" s="211">
        <v>7</v>
      </c>
      <c r="F18" s="90"/>
      <c r="G18" s="90"/>
    </row>
    <row r="19" spans="1:7" ht="15" thickBot="1">
      <c r="A19" s="266"/>
      <c r="B19" s="266"/>
      <c r="C19" s="266"/>
      <c r="D19" s="266"/>
      <c r="E19" s="280"/>
      <c r="F19" s="90"/>
      <c r="G19" s="90"/>
    </row>
    <row r="20" spans="1:7" ht="15" thickTop="1">
      <c r="A20" s="90"/>
      <c r="B20" s="90"/>
      <c r="C20" s="90"/>
      <c r="D20" s="90"/>
      <c r="E20" s="366">
        <v>41593</v>
      </c>
      <c r="F20" s="90"/>
      <c r="G20" s="90"/>
    </row>
    <row r="21" spans="1:7" ht="15" thickBot="1">
      <c r="A21" s="277" t="s">
        <v>51</v>
      </c>
      <c r="B21" s="95"/>
      <c r="C21" s="95"/>
      <c r="D21" s="277"/>
      <c r="E21" s="293" t="s">
        <v>59</v>
      </c>
      <c r="F21" s="90"/>
      <c r="G21" s="90"/>
    </row>
    <row r="22" spans="1:7" ht="15" thickTop="1">
      <c r="A22" s="217" t="s">
        <v>792</v>
      </c>
      <c r="B22" s="90"/>
      <c r="C22" s="90"/>
      <c r="D22" s="90"/>
      <c r="E22" s="368">
        <v>5</v>
      </c>
      <c r="F22" s="90"/>
      <c r="G22" s="90"/>
    </row>
    <row r="23" spans="1:7" ht="15">
      <c r="A23" s="217" t="s">
        <v>793</v>
      </c>
      <c r="B23" s="90"/>
      <c r="C23" s="90"/>
      <c r="D23" s="90"/>
      <c r="E23" s="368">
        <v>4.1</v>
      </c>
      <c r="F23" s="66"/>
      <c r="G23" s="90"/>
    </row>
    <row r="24" spans="1:7" ht="15">
      <c r="A24" s="217" t="s">
        <v>794</v>
      </c>
      <c r="B24" s="90"/>
      <c r="C24" s="90"/>
      <c r="D24" s="90"/>
      <c r="E24" s="368">
        <v>0.75</v>
      </c>
      <c r="F24" s="66"/>
      <c r="G24" s="90"/>
    </row>
    <row r="25" spans="1:7" ht="15">
      <c r="A25" s="217" t="s">
        <v>795</v>
      </c>
      <c r="B25" s="90"/>
      <c r="C25" s="90"/>
      <c r="D25" s="90"/>
      <c r="E25" s="368">
        <v>0.08</v>
      </c>
      <c r="F25" s="66"/>
      <c r="G25" s="90"/>
    </row>
    <row r="26" spans="1:7" ht="15">
      <c r="A26" s="217" t="s">
        <v>796</v>
      </c>
      <c r="B26" s="90"/>
      <c r="C26" s="90"/>
      <c r="D26" s="90"/>
      <c r="E26" s="368">
        <v>2.5</v>
      </c>
      <c r="F26" s="66"/>
      <c r="G26" s="90"/>
    </row>
    <row r="27" spans="1:7" ht="15">
      <c r="A27" s="217" t="s">
        <v>797</v>
      </c>
      <c r="B27" s="90"/>
      <c r="C27" s="90"/>
      <c r="D27" s="90"/>
      <c r="E27" s="375">
        <v>0.2175</v>
      </c>
      <c r="F27" s="66"/>
      <c r="G27" s="385"/>
    </row>
    <row r="28" spans="1:7" ht="15">
      <c r="A28" s="217" t="s">
        <v>798</v>
      </c>
      <c r="B28" s="90"/>
      <c r="C28" s="90"/>
      <c r="D28" s="90"/>
      <c r="E28" s="368">
        <v>10</v>
      </c>
      <c r="F28" s="66"/>
      <c r="G28" s="90"/>
    </row>
    <row r="29" spans="1:7" ht="15">
      <c r="A29" s="217" t="s">
        <v>799</v>
      </c>
      <c r="B29" s="90"/>
      <c r="C29" s="90"/>
      <c r="D29" s="90"/>
      <c r="E29" s="368">
        <v>1.95</v>
      </c>
      <c r="F29" s="90"/>
      <c r="G29" s="90"/>
    </row>
    <row r="30" spans="1:7" ht="15">
      <c r="A30" s="217" t="s">
        <v>800</v>
      </c>
      <c r="B30" s="90"/>
      <c r="C30" s="90"/>
      <c r="D30" s="90"/>
      <c r="E30" s="368">
        <v>4.5</v>
      </c>
      <c r="F30" s="386"/>
      <c r="G30" s="90"/>
    </row>
    <row r="31" spans="1:7" ht="15">
      <c r="A31" s="217" t="s">
        <v>773</v>
      </c>
      <c r="B31" s="90"/>
      <c r="C31" s="90"/>
      <c r="D31" s="90"/>
      <c r="E31" s="368">
        <v>22</v>
      </c>
      <c r="F31" s="367"/>
      <c r="G31" s="90"/>
    </row>
    <row r="32" spans="1:7" ht="15">
      <c r="A32" s="217" t="s">
        <v>774</v>
      </c>
      <c r="B32" s="90"/>
      <c r="C32" s="90"/>
      <c r="D32" s="90"/>
      <c r="E32" s="368">
        <v>240</v>
      </c>
      <c r="F32" s="367"/>
      <c r="G32" s="90"/>
    </row>
    <row r="33" spans="1:7" ht="15">
      <c r="A33" s="217" t="s">
        <v>775</v>
      </c>
      <c r="B33" s="90"/>
      <c r="C33" s="90"/>
      <c r="D33" s="90"/>
      <c r="E33" s="368">
        <v>120</v>
      </c>
      <c r="F33" s="367"/>
      <c r="G33" s="90"/>
    </row>
    <row r="34" spans="1:7" ht="15">
      <c r="A34" s="217" t="s">
        <v>776</v>
      </c>
      <c r="B34" s="90"/>
      <c r="C34" s="90"/>
      <c r="D34" s="90"/>
      <c r="E34" s="368">
        <v>10</v>
      </c>
      <c r="F34" s="386"/>
      <c r="G34" s="90"/>
    </row>
    <row r="35" spans="1:7" ht="15">
      <c r="A35" s="217" t="s">
        <v>777</v>
      </c>
      <c r="B35" s="90"/>
      <c r="C35" s="90"/>
      <c r="D35" s="90"/>
      <c r="E35" s="368">
        <v>12</v>
      </c>
      <c r="F35" s="386"/>
      <c r="G35" s="90"/>
    </row>
    <row r="36" spans="1:7" ht="15">
      <c r="A36" s="217" t="s">
        <v>934</v>
      </c>
      <c r="B36" s="90"/>
      <c r="C36" s="90"/>
      <c r="D36" s="90"/>
      <c r="E36" s="368">
        <v>16</v>
      </c>
      <c r="F36" s="386"/>
      <c r="G36" s="90"/>
    </row>
    <row r="37" spans="1:7" ht="15">
      <c r="A37" s="217" t="s">
        <v>778</v>
      </c>
      <c r="B37" s="90"/>
      <c r="C37" s="90"/>
      <c r="D37" s="90"/>
      <c r="E37" s="368">
        <v>14</v>
      </c>
      <c r="F37" s="386"/>
      <c r="G37" s="90"/>
    </row>
    <row r="38" spans="1:7" ht="15">
      <c r="A38" s="217" t="s">
        <v>801</v>
      </c>
      <c r="B38" s="90"/>
      <c r="C38" s="90"/>
      <c r="D38" s="90"/>
      <c r="E38" s="368">
        <v>45</v>
      </c>
      <c r="F38" s="367"/>
      <c r="G38" s="90"/>
    </row>
    <row r="39" spans="1:7" ht="15">
      <c r="A39" s="217" t="s">
        <v>802</v>
      </c>
      <c r="B39" s="90"/>
      <c r="C39" s="225"/>
      <c r="D39" s="90"/>
      <c r="E39" s="369">
        <v>16</v>
      </c>
      <c r="F39" s="387"/>
      <c r="G39" s="90"/>
    </row>
    <row r="40" spans="1:7" ht="15">
      <c r="A40" s="217" t="s">
        <v>803</v>
      </c>
      <c r="B40" s="225"/>
      <c r="C40" s="334"/>
      <c r="D40" s="90"/>
      <c r="E40" s="369">
        <v>14</v>
      </c>
      <c r="F40" s="386"/>
      <c r="G40" s="90"/>
    </row>
    <row r="41" spans="1:7" ht="15">
      <c r="A41" s="217" t="s">
        <v>804</v>
      </c>
      <c r="B41" s="225"/>
      <c r="C41" s="334"/>
      <c r="D41" s="90"/>
      <c r="E41" s="369">
        <v>13</v>
      </c>
      <c r="F41" s="386"/>
      <c r="G41" s="90"/>
    </row>
    <row r="42" spans="1:7" ht="15">
      <c r="A42" s="217" t="s">
        <v>805</v>
      </c>
      <c r="B42" s="225"/>
      <c r="C42" s="334"/>
      <c r="D42" s="90"/>
      <c r="E42" s="369">
        <v>12</v>
      </c>
      <c r="F42" s="386"/>
      <c r="G42" s="90"/>
    </row>
    <row r="43" spans="1:7" ht="15">
      <c r="A43" s="217" t="s">
        <v>806</v>
      </c>
      <c r="B43" s="90"/>
      <c r="C43" s="225"/>
      <c r="D43" s="90"/>
      <c r="E43" s="369">
        <v>16</v>
      </c>
      <c r="F43" s="386"/>
      <c r="G43" s="90"/>
    </row>
    <row r="44" spans="1:7" ht="15">
      <c r="A44" s="217" t="s">
        <v>807</v>
      </c>
      <c r="B44" s="225"/>
      <c r="C44" s="334"/>
      <c r="D44" s="90"/>
      <c r="E44" s="369">
        <v>14</v>
      </c>
      <c r="F44" s="386"/>
      <c r="G44" s="90"/>
    </row>
    <row r="45" spans="1:7" ht="15">
      <c r="A45" s="217" t="s">
        <v>808</v>
      </c>
      <c r="B45" s="225"/>
      <c r="C45" s="334"/>
      <c r="D45" s="90"/>
      <c r="E45" s="369">
        <v>13</v>
      </c>
      <c r="F45" s="386"/>
      <c r="G45" s="90"/>
    </row>
    <row r="46" spans="1:7" ht="15">
      <c r="A46" s="217" t="s">
        <v>809</v>
      </c>
      <c r="B46" s="225"/>
      <c r="C46" s="334"/>
      <c r="D46" s="90"/>
      <c r="E46" s="369">
        <v>12</v>
      </c>
      <c r="F46" s="386"/>
      <c r="G46" s="90"/>
    </row>
    <row r="47" spans="1:7" ht="15">
      <c r="A47" s="294" t="s">
        <v>810</v>
      </c>
      <c r="B47" s="90"/>
      <c r="C47" s="90"/>
      <c r="D47" s="90"/>
      <c r="E47" s="369">
        <v>120</v>
      </c>
      <c r="F47" s="367"/>
      <c r="G47" s="90"/>
    </row>
    <row r="48" spans="1:7" ht="15">
      <c r="A48" s="294" t="s">
        <v>811</v>
      </c>
      <c r="B48" s="90"/>
      <c r="C48" s="90"/>
      <c r="D48" s="90"/>
      <c r="E48" s="369">
        <v>17</v>
      </c>
      <c r="F48" s="386"/>
      <c r="G48" s="90"/>
    </row>
    <row r="49" spans="1:7" ht="15">
      <c r="A49" s="294" t="s">
        <v>812</v>
      </c>
      <c r="B49" s="90"/>
      <c r="C49" s="90"/>
      <c r="D49" s="90"/>
      <c r="E49" s="369">
        <v>14</v>
      </c>
      <c r="F49" s="386"/>
      <c r="G49" s="90"/>
    </row>
    <row r="50" spans="1:7" ht="15">
      <c r="A50" s="294" t="s">
        <v>813</v>
      </c>
      <c r="B50" s="90"/>
      <c r="C50" s="90"/>
      <c r="D50" s="90"/>
      <c r="E50" s="369">
        <v>25</v>
      </c>
      <c r="F50" s="386"/>
      <c r="G50" s="90"/>
    </row>
    <row r="51" spans="1:7" ht="15">
      <c r="A51" s="294" t="s">
        <v>814</v>
      </c>
      <c r="B51" s="90"/>
      <c r="C51" s="90"/>
      <c r="D51" s="90"/>
      <c r="E51" s="369">
        <v>18</v>
      </c>
      <c r="F51" s="386"/>
      <c r="G51" s="90"/>
    </row>
    <row r="52" spans="1:7" ht="15">
      <c r="A52" s="294" t="s">
        <v>779</v>
      </c>
      <c r="B52" s="90"/>
      <c r="C52" s="90"/>
      <c r="D52" s="90"/>
      <c r="E52" s="369">
        <v>20</v>
      </c>
      <c r="F52" s="386"/>
      <c r="G52" s="90"/>
    </row>
    <row r="53" spans="1:7" ht="15">
      <c r="A53" s="294" t="s">
        <v>780</v>
      </c>
      <c r="B53" s="90"/>
      <c r="C53" s="90"/>
      <c r="D53" s="90"/>
      <c r="E53" s="369">
        <v>19</v>
      </c>
      <c r="F53" s="386"/>
      <c r="G53" s="90"/>
    </row>
    <row r="54" spans="1:7" ht="15">
      <c r="A54" s="294" t="s">
        <v>781</v>
      </c>
      <c r="B54" s="90"/>
      <c r="C54" s="90"/>
      <c r="D54" s="90"/>
      <c r="E54" s="369">
        <v>17</v>
      </c>
      <c r="F54" s="386"/>
      <c r="G54" s="90"/>
    </row>
    <row r="55" spans="1:7" ht="15">
      <c r="A55" s="294" t="s">
        <v>782</v>
      </c>
      <c r="B55" s="90"/>
      <c r="C55" s="90"/>
      <c r="D55" s="90"/>
      <c r="E55" s="369">
        <v>15</v>
      </c>
      <c r="F55" s="386"/>
      <c r="G55" s="90"/>
    </row>
    <row r="56" spans="1:7" ht="15">
      <c r="A56" s="294" t="s">
        <v>783</v>
      </c>
      <c r="B56" s="90"/>
      <c r="C56" s="90"/>
      <c r="D56" s="90"/>
      <c r="E56" s="369">
        <v>18</v>
      </c>
      <c r="F56" s="386"/>
      <c r="G56" s="90"/>
    </row>
    <row r="57" spans="1:7" ht="15">
      <c r="A57" s="294" t="s">
        <v>784</v>
      </c>
      <c r="B57" s="90"/>
      <c r="C57" s="90"/>
      <c r="D57" s="90"/>
      <c r="E57" s="369">
        <v>17</v>
      </c>
      <c r="F57" s="386"/>
      <c r="G57" s="90"/>
    </row>
    <row r="58" spans="1:7" ht="15">
      <c r="A58" s="294" t="s">
        <v>785</v>
      </c>
      <c r="B58" s="90"/>
      <c r="C58" s="90"/>
      <c r="D58" s="90"/>
      <c r="E58" s="369">
        <v>16</v>
      </c>
      <c r="F58" s="386"/>
      <c r="G58" s="90"/>
    </row>
    <row r="59" spans="1:7" ht="15">
      <c r="A59" s="294" t="s">
        <v>786</v>
      </c>
      <c r="B59" s="90"/>
      <c r="C59" s="90"/>
      <c r="D59" s="90"/>
      <c r="E59" s="369">
        <v>15</v>
      </c>
      <c r="F59" s="386"/>
      <c r="G59" s="90"/>
    </row>
    <row r="60" spans="1:7" ht="15">
      <c r="A60" s="294" t="s">
        <v>815</v>
      </c>
      <c r="B60" s="90"/>
      <c r="C60" s="90"/>
      <c r="D60" s="90"/>
      <c r="E60" s="369">
        <v>120</v>
      </c>
      <c r="F60" s="367"/>
      <c r="G60" s="90"/>
    </row>
    <row r="61" spans="1:7" ht="15">
      <c r="A61" s="294" t="s">
        <v>816</v>
      </c>
      <c r="B61" s="90"/>
      <c r="C61" s="90"/>
      <c r="D61" s="90"/>
      <c r="E61" s="369">
        <v>35</v>
      </c>
      <c r="F61" s="367"/>
      <c r="G61" s="90"/>
    </row>
    <row r="62" spans="1:7" ht="15">
      <c r="A62" s="294" t="s">
        <v>817</v>
      </c>
      <c r="B62" s="90"/>
      <c r="C62" s="90"/>
      <c r="D62" s="90"/>
      <c r="E62" s="369">
        <v>16</v>
      </c>
      <c r="F62" s="387"/>
      <c r="G62" s="90"/>
    </row>
    <row r="63" spans="1:7" ht="15">
      <c r="A63" s="294" t="s">
        <v>818</v>
      </c>
      <c r="B63" s="90"/>
      <c r="C63" s="90"/>
      <c r="D63" s="90"/>
      <c r="E63" s="369">
        <v>35</v>
      </c>
      <c r="F63" s="367"/>
      <c r="G63" s="90"/>
    </row>
    <row r="64" spans="1:7" ht="15">
      <c r="A64" s="294" t="s">
        <v>819</v>
      </c>
      <c r="B64" s="90"/>
      <c r="C64" s="90"/>
      <c r="D64" s="90"/>
      <c r="E64" s="369">
        <v>20</v>
      </c>
      <c r="F64" s="386"/>
      <c r="G64" s="90"/>
    </row>
    <row r="65" spans="1:7" ht="15">
      <c r="A65" s="294" t="s">
        <v>935</v>
      </c>
      <c r="B65" s="90"/>
      <c r="C65" s="90"/>
      <c r="D65" s="90"/>
      <c r="E65" s="369">
        <v>1.3</v>
      </c>
      <c r="F65" s="367"/>
      <c r="G65" s="90"/>
    </row>
    <row r="66" spans="1:7" ht="15">
      <c r="A66" s="294" t="s">
        <v>936</v>
      </c>
      <c r="B66" s="90"/>
      <c r="C66" s="90"/>
      <c r="D66" s="90"/>
      <c r="E66" s="369">
        <v>1.5</v>
      </c>
      <c r="F66" s="367"/>
      <c r="G66" s="90"/>
    </row>
    <row r="67" spans="1:7" ht="15">
      <c r="A67" s="294" t="s">
        <v>787</v>
      </c>
      <c r="B67" s="90"/>
      <c r="C67" s="90"/>
      <c r="D67" s="90"/>
      <c r="E67" s="369">
        <v>9.6</v>
      </c>
      <c r="F67" s="66"/>
      <c r="G67" s="90"/>
    </row>
    <row r="68" spans="1:7" ht="15">
      <c r="A68" s="294" t="s">
        <v>788</v>
      </c>
      <c r="B68" s="90"/>
      <c r="C68" s="90"/>
      <c r="D68" s="90"/>
      <c r="E68" s="369">
        <v>2.4</v>
      </c>
      <c r="F68" s="386"/>
      <c r="G68" s="90"/>
    </row>
    <row r="69" spans="1:7" ht="15">
      <c r="A69" s="294" t="s">
        <v>820</v>
      </c>
      <c r="B69" s="90"/>
      <c r="C69" s="123"/>
      <c r="D69" s="90"/>
      <c r="E69" s="369">
        <v>14</v>
      </c>
      <c r="F69" s="386"/>
      <c r="G69" s="90"/>
    </row>
    <row r="70" spans="1:7" ht="15">
      <c r="A70" s="294" t="s">
        <v>821</v>
      </c>
      <c r="B70" s="90"/>
      <c r="C70" s="123"/>
      <c r="D70" s="90"/>
      <c r="E70" s="369">
        <v>12</v>
      </c>
      <c r="F70" s="386"/>
      <c r="G70" s="90"/>
    </row>
    <row r="71" spans="1:7" ht="15">
      <c r="A71" s="294" t="s">
        <v>822</v>
      </c>
      <c r="B71" s="90"/>
      <c r="C71" s="123"/>
      <c r="D71" s="90"/>
      <c r="E71" s="369">
        <v>8</v>
      </c>
      <c r="F71" s="386"/>
      <c r="G71" s="90"/>
    </row>
    <row r="72" spans="1:7" ht="15">
      <c r="A72" s="217" t="s">
        <v>789</v>
      </c>
      <c r="B72" s="90"/>
      <c r="C72" s="90"/>
      <c r="D72" s="90"/>
      <c r="E72" s="369">
        <v>16</v>
      </c>
      <c r="F72" s="386"/>
      <c r="G72" s="90"/>
    </row>
    <row r="73" spans="1:7" ht="15">
      <c r="A73" s="217" t="s">
        <v>834</v>
      </c>
      <c r="B73" s="90"/>
      <c r="C73" s="90"/>
      <c r="D73" s="90"/>
      <c r="E73" s="369">
        <v>14</v>
      </c>
      <c r="F73" s="386"/>
      <c r="G73" s="90"/>
    </row>
    <row r="74" spans="1:7" ht="15">
      <c r="A74" s="217" t="s">
        <v>823</v>
      </c>
      <c r="B74" s="90"/>
      <c r="C74" s="90"/>
      <c r="D74" s="90"/>
      <c r="E74" s="369">
        <v>18</v>
      </c>
      <c r="F74" s="386"/>
      <c r="G74" s="90"/>
    </row>
    <row r="75" spans="1:7" ht="15">
      <c r="A75" s="217" t="s">
        <v>824</v>
      </c>
      <c r="B75" s="90"/>
      <c r="C75" s="90"/>
      <c r="D75" s="90"/>
      <c r="E75" s="369">
        <v>16</v>
      </c>
      <c r="F75" s="386"/>
      <c r="G75" s="90"/>
    </row>
    <row r="76" spans="1:7" ht="15">
      <c r="A76" s="217" t="s">
        <v>920</v>
      </c>
      <c r="B76" s="90"/>
      <c r="C76" s="90"/>
      <c r="D76" s="90"/>
      <c r="E76" s="368">
        <v>3.75</v>
      </c>
      <c r="F76" s="90"/>
      <c r="G76" s="90"/>
    </row>
    <row r="77" spans="1:7" ht="15">
      <c r="A77" s="217"/>
      <c r="B77" s="90"/>
      <c r="C77" s="90"/>
      <c r="D77" s="90"/>
      <c r="E77" s="90"/>
      <c r="F77" s="90"/>
      <c r="G77" s="90"/>
    </row>
    <row r="78" spans="1:7" ht="15">
      <c r="A78" s="217"/>
      <c r="B78" s="90"/>
      <c r="C78" s="90"/>
      <c r="D78" s="90"/>
      <c r="E78" s="90"/>
      <c r="F78" s="90"/>
      <c r="G78" s="90"/>
    </row>
    <row r="79" spans="1:7" ht="15">
      <c r="A79" s="217"/>
      <c r="B79" s="90"/>
      <c r="C79" s="90"/>
      <c r="D79" s="90"/>
      <c r="E79" s="90"/>
      <c r="F79" s="90"/>
      <c r="G79" s="90"/>
    </row>
    <row r="80" spans="1:7" ht="15" thickBot="1">
      <c r="A80" s="277" t="s">
        <v>51</v>
      </c>
      <c r="B80" s="95"/>
      <c r="C80" s="95"/>
      <c r="D80" s="277"/>
      <c r="E80" s="388" t="s">
        <v>183</v>
      </c>
      <c r="F80" s="90"/>
      <c r="G80" s="90"/>
    </row>
    <row r="81" spans="1:7" ht="15" thickTop="1">
      <c r="A81" s="225" t="s">
        <v>835</v>
      </c>
      <c r="B81" s="209"/>
      <c r="C81" s="209"/>
      <c r="D81" s="209"/>
      <c r="E81" s="384">
        <v>10</v>
      </c>
      <c r="F81" s="90"/>
      <c r="G81" s="90"/>
    </row>
    <row r="82" spans="1:7" ht="15">
      <c r="A82" s="209" t="s">
        <v>836</v>
      </c>
      <c r="B82" s="209"/>
      <c r="C82" s="209"/>
      <c r="D82" s="209"/>
      <c r="E82" s="384">
        <v>0.35</v>
      </c>
      <c r="F82" s="90"/>
      <c r="G82" s="90"/>
    </row>
    <row r="83" spans="1:7" ht="15">
      <c r="A83" s="209" t="s">
        <v>837</v>
      </c>
      <c r="B83" s="209"/>
      <c r="C83" s="209"/>
      <c r="D83" s="209"/>
      <c r="E83" s="384">
        <v>15</v>
      </c>
      <c r="F83" s="90"/>
      <c r="G83" s="90"/>
    </row>
    <row r="84" spans="1:7" ht="15">
      <c r="A84" s="217" t="s">
        <v>838</v>
      </c>
      <c r="B84" s="90"/>
      <c r="C84" s="90"/>
      <c r="D84" s="90"/>
      <c r="E84" s="384">
        <v>60</v>
      </c>
      <c r="F84" s="90"/>
      <c r="G84" s="90"/>
    </row>
    <row r="85" spans="1:7" ht="15">
      <c r="A85" s="217" t="s">
        <v>839</v>
      </c>
      <c r="B85" s="90"/>
      <c r="C85" s="90"/>
      <c r="D85" s="90"/>
      <c r="E85" s="384">
        <v>50</v>
      </c>
      <c r="F85" s="90"/>
      <c r="G85" s="90"/>
    </row>
    <row r="86" spans="1:7" ht="15">
      <c r="A86" s="217" t="s">
        <v>840</v>
      </c>
      <c r="B86" s="90"/>
      <c r="C86" s="90"/>
      <c r="D86" s="90"/>
      <c r="E86" s="384">
        <v>40</v>
      </c>
      <c r="F86" s="90"/>
      <c r="G86" s="90"/>
    </row>
    <row r="87" spans="1:7" ht="15">
      <c r="A87" s="217" t="s">
        <v>964</v>
      </c>
      <c r="B87" s="90"/>
      <c r="C87" s="90"/>
      <c r="D87" s="90"/>
      <c r="E87" s="384">
        <v>75</v>
      </c>
      <c r="F87" s="90"/>
      <c r="G87" s="90"/>
    </row>
    <row r="88" spans="1:7" ht="15">
      <c r="A88" s="217" t="s">
        <v>841</v>
      </c>
      <c r="B88" s="90"/>
      <c r="C88" s="90"/>
      <c r="D88" s="90"/>
      <c r="E88" s="384">
        <v>0.25</v>
      </c>
      <c r="F88" s="90"/>
      <c r="G88" s="90"/>
    </row>
    <row r="89" spans="1:7" ht="15">
      <c r="A89" s="217" t="s">
        <v>842</v>
      </c>
      <c r="B89" s="90"/>
      <c r="C89" s="90"/>
      <c r="D89" s="90"/>
      <c r="E89" s="384">
        <v>10</v>
      </c>
      <c r="F89" s="90"/>
      <c r="G89" s="90"/>
    </row>
    <row r="90" spans="1:7" ht="15">
      <c r="A90" s="217" t="s">
        <v>843</v>
      </c>
      <c r="B90" s="90"/>
      <c r="C90" s="90"/>
      <c r="D90" s="90"/>
      <c r="E90" s="384">
        <v>0.15</v>
      </c>
      <c r="F90" s="90"/>
      <c r="G90" s="90"/>
    </row>
    <row r="91" spans="1:7" ht="15">
      <c r="A91" s="217" t="s">
        <v>844</v>
      </c>
      <c r="B91" s="90"/>
      <c r="C91" s="90"/>
      <c r="D91" s="90"/>
      <c r="E91" s="384">
        <v>2.5</v>
      </c>
      <c r="F91" s="90"/>
      <c r="G91" s="90"/>
    </row>
    <row r="92" spans="1:7" ht="15">
      <c r="A92" s="209" t="s">
        <v>845</v>
      </c>
      <c r="B92" s="209"/>
      <c r="C92" s="209"/>
      <c r="D92" s="209"/>
      <c r="E92" s="384">
        <v>2.75</v>
      </c>
      <c r="F92" s="90"/>
      <c r="G92" s="90"/>
    </row>
    <row r="93" spans="1:7" ht="15">
      <c r="A93" s="217" t="s">
        <v>846</v>
      </c>
      <c r="B93" s="90"/>
      <c r="C93" s="90"/>
      <c r="D93" s="90"/>
      <c r="E93" s="384">
        <v>3</v>
      </c>
      <c r="F93" s="90"/>
      <c r="G93" s="90"/>
    </row>
    <row r="94" spans="1:7" ht="15">
      <c r="A94" s="217" t="s">
        <v>847</v>
      </c>
      <c r="B94" s="90"/>
      <c r="C94" s="90"/>
      <c r="D94" s="90"/>
      <c r="E94" s="384">
        <v>0.75</v>
      </c>
      <c r="F94" s="90"/>
      <c r="G94" s="90"/>
    </row>
    <row r="95" spans="1:7" ht="15">
      <c r="A95" s="225" t="s">
        <v>848</v>
      </c>
      <c r="B95" s="90"/>
      <c r="C95" s="90"/>
      <c r="D95" s="90"/>
      <c r="E95" s="215">
        <v>1.75</v>
      </c>
      <c r="F95" s="90"/>
      <c r="G95" s="90"/>
    </row>
    <row r="96" spans="1:7" ht="15">
      <c r="A96" s="225" t="s">
        <v>849</v>
      </c>
      <c r="B96" s="90"/>
      <c r="C96" s="90"/>
      <c r="D96" s="90"/>
      <c r="E96" s="215">
        <v>1.95</v>
      </c>
      <c r="F96" s="90"/>
      <c r="G96" s="90"/>
    </row>
    <row r="97" spans="1:7" ht="15">
      <c r="A97" s="225" t="s">
        <v>850</v>
      </c>
      <c r="B97" s="90"/>
      <c r="C97" s="90"/>
      <c r="D97" s="90"/>
      <c r="E97" s="215">
        <v>2.75</v>
      </c>
      <c r="F97" s="90"/>
      <c r="G97" s="90"/>
    </row>
    <row r="98" spans="1:7" ht="15">
      <c r="A98" s="225" t="s">
        <v>851</v>
      </c>
      <c r="B98" s="90"/>
      <c r="C98" s="90"/>
      <c r="D98" s="90"/>
      <c r="E98" s="215">
        <v>9</v>
      </c>
      <c r="F98" s="90"/>
      <c r="G98" s="90"/>
    </row>
    <row r="99" spans="1:7" ht="15">
      <c r="A99" s="225" t="s">
        <v>852</v>
      </c>
      <c r="B99" s="90"/>
      <c r="C99" s="90"/>
      <c r="D99" s="90"/>
      <c r="E99" s="389">
        <v>0.12</v>
      </c>
      <c r="F99" s="90"/>
      <c r="G99" s="90"/>
    </row>
    <row r="100" spans="1:7" ht="15">
      <c r="A100" s="225" t="s">
        <v>853</v>
      </c>
      <c r="B100" s="90"/>
      <c r="C100" s="90"/>
      <c r="D100" s="90"/>
      <c r="E100" s="390">
        <v>1</v>
      </c>
      <c r="F100" s="90"/>
      <c r="G100" s="90"/>
    </row>
    <row r="101" spans="1:7" ht="15">
      <c r="A101" s="225" t="s">
        <v>965</v>
      </c>
      <c r="B101" s="90"/>
      <c r="C101" s="90"/>
      <c r="D101" s="90"/>
      <c r="E101" s="215">
        <v>1.5</v>
      </c>
      <c r="F101" s="90"/>
      <c r="G101" s="90"/>
    </row>
    <row r="102" spans="1:7" ht="15">
      <c r="A102" s="217" t="s">
        <v>870</v>
      </c>
      <c r="B102" s="90"/>
      <c r="C102" s="90"/>
      <c r="D102" s="90"/>
      <c r="E102" s="384">
        <v>9</v>
      </c>
      <c r="F102" s="90"/>
      <c r="G102" s="90"/>
    </row>
    <row r="103" spans="1:7" ht="15">
      <c r="A103" s="225" t="s">
        <v>871</v>
      </c>
      <c r="B103" s="90"/>
      <c r="C103" s="90"/>
      <c r="D103" s="90"/>
      <c r="E103" s="384">
        <v>0.03</v>
      </c>
      <c r="F103" s="90"/>
      <c r="G103" s="90"/>
    </row>
    <row r="104" spans="1:7" ht="15">
      <c r="A104" s="225" t="s">
        <v>872</v>
      </c>
      <c r="B104" s="90"/>
      <c r="C104" s="90"/>
      <c r="D104" s="90"/>
      <c r="E104" s="390">
        <v>100</v>
      </c>
      <c r="F104" s="90"/>
      <c r="G104" s="90"/>
    </row>
    <row r="105" spans="1:7" ht="15">
      <c r="A105" s="225" t="s">
        <v>873</v>
      </c>
      <c r="B105" s="90"/>
      <c r="C105" s="90"/>
      <c r="D105" s="90"/>
      <c r="E105" s="390">
        <v>200</v>
      </c>
      <c r="F105" s="90"/>
      <c r="G105" s="90"/>
    </row>
    <row r="106" spans="1:7" ht="15">
      <c r="A106" s="334" t="s">
        <v>874</v>
      </c>
      <c r="B106" s="90"/>
      <c r="C106" s="90"/>
      <c r="D106" s="90"/>
      <c r="E106" s="390">
        <v>195.04</v>
      </c>
      <c r="F106" s="90"/>
      <c r="G106" s="90"/>
    </row>
    <row r="107" spans="1:7" ht="15">
      <c r="A107" s="225" t="s">
        <v>875</v>
      </c>
      <c r="B107" s="90"/>
      <c r="C107" s="90"/>
      <c r="D107" s="90"/>
      <c r="E107" s="395">
        <v>96.63</v>
      </c>
      <c r="F107" s="90"/>
      <c r="G107" s="90"/>
    </row>
    <row r="108" spans="1:7" ht="15">
      <c r="A108" s="334" t="s">
        <v>876</v>
      </c>
      <c r="B108" s="90"/>
      <c r="C108" s="90"/>
      <c r="D108" s="90"/>
      <c r="E108" s="390">
        <v>186.81</v>
      </c>
      <c r="F108" s="90"/>
      <c r="G108" s="90"/>
    </row>
    <row r="109" spans="1:7" ht="15">
      <c r="A109" s="225" t="s">
        <v>877</v>
      </c>
      <c r="B109" s="90"/>
      <c r="C109" s="90"/>
      <c r="D109" s="90"/>
      <c r="E109" s="395">
        <v>84.93</v>
      </c>
      <c r="F109" s="90"/>
      <c r="G109" s="90"/>
    </row>
    <row r="110" spans="1:7" ht="15">
      <c r="A110" s="334" t="s">
        <v>878</v>
      </c>
      <c r="B110" s="90"/>
      <c r="C110" s="90"/>
      <c r="D110" s="90"/>
      <c r="E110" s="390">
        <v>171.72</v>
      </c>
      <c r="F110" s="90"/>
      <c r="G110" s="90"/>
    </row>
    <row r="111" spans="1:7" ht="15">
      <c r="A111" s="225" t="s">
        <v>879</v>
      </c>
      <c r="B111" s="90"/>
      <c r="C111" s="90"/>
      <c r="D111" s="90"/>
      <c r="E111" s="395">
        <v>85.86</v>
      </c>
      <c r="F111" s="90"/>
      <c r="G111" s="90"/>
    </row>
    <row r="112" spans="1:7" ht="15">
      <c r="A112" s="334" t="s">
        <v>880</v>
      </c>
      <c r="B112" s="90"/>
      <c r="C112" s="90"/>
      <c r="D112" s="90"/>
      <c r="E112" s="390">
        <v>156.5</v>
      </c>
      <c r="F112" s="90"/>
      <c r="G112" s="90"/>
    </row>
    <row r="113" spans="1:7" ht="15">
      <c r="A113" s="225" t="s">
        <v>881</v>
      </c>
      <c r="B113" s="90"/>
      <c r="C113" s="90"/>
      <c r="D113" s="90"/>
      <c r="E113" s="395">
        <v>79.58</v>
      </c>
      <c r="F113" s="90"/>
      <c r="G113" s="90"/>
    </row>
    <row r="114" spans="1:7" ht="15">
      <c r="A114" s="334" t="s">
        <v>882</v>
      </c>
      <c r="B114" s="90"/>
      <c r="C114" s="90"/>
      <c r="D114" s="90"/>
      <c r="E114" s="390">
        <v>149.46</v>
      </c>
      <c r="F114" s="90"/>
      <c r="G114" s="90"/>
    </row>
    <row r="115" spans="1:7" ht="15">
      <c r="A115" s="225" t="s">
        <v>883</v>
      </c>
      <c r="B115" s="90"/>
      <c r="C115" s="90"/>
      <c r="D115" s="90"/>
      <c r="E115" s="395">
        <v>78.65</v>
      </c>
      <c r="F115" s="90"/>
      <c r="G115" s="90"/>
    </row>
    <row r="116" spans="1:7" ht="15">
      <c r="A116" s="334" t="s">
        <v>884</v>
      </c>
      <c r="B116" s="90"/>
      <c r="C116" s="90"/>
      <c r="D116" s="90"/>
      <c r="E116" s="390">
        <v>127.2</v>
      </c>
      <c r="F116" s="90"/>
      <c r="G116" s="90"/>
    </row>
    <row r="117" spans="1:7" ht="15">
      <c r="A117" s="225" t="s">
        <v>885</v>
      </c>
      <c r="B117" s="90"/>
      <c r="C117" s="90"/>
      <c r="D117" s="90"/>
      <c r="E117" s="395">
        <v>76.8</v>
      </c>
      <c r="F117" s="90"/>
      <c r="G117" s="90"/>
    </row>
    <row r="118" spans="1:7" ht="15">
      <c r="A118" s="334" t="s">
        <v>886</v>
      </c>
      <c r="B118" s="90"/>
      <c r="C118" s="90"/>
      <c r="D118" s="90"/>
      <c r="E118" s="390">
        <v>84.56</v>
      </c>
      <c r="F118" s="90"/>
      <c r="G118" s="90"/>
    </row>
    <row r="119" spans="1:7" ht="15">
      <c r="A119" s="225" t="s">
        <v>887</v>
      </c>
      <c r="B119" s="90"/>
      <c r="C119" s="90"/>
      <c r="D119" s="90"/>
      <c r="E119" s="395">
        <v>74.65</v>
      </c>
      <c r="F119" s="90"/>
      <c r="G119" s="90"/>
    </row>
    <row r="120" spans="1:7" ht="15">
      <c r="A120" s="334" t="s">
        <v>888</v>
      </c>
      <c r="B120" s="90"/>
      <c r="C120" s="90"/>
      <c r="D120" s="90"/>
      <c r="E120" s="395">
        <v>2.8</v>
      </c>
      <c r="F120" s="90"/>
      <c r="G120" s="90"/>
    </row>
    <row r="121" spans="1:7" ht="15">
      <c r="A121" s="334" t="s">
        <v>889</v>
      </c>
      <c r="B121" s="90"/>
      <c r="C121" s="90"/>
      <c r="D121" s="90"/>
      <c r="E121" s="395">
        <v>9</v>
      </c>
      <c r="F121" s="90"/>
      <c r="G121" s="90"/>
    </row>
    <row r="122" spans="1:7" ht="15">
      <c r="A122" s="334" t="s">
        <v>890</v>
      </c>
      <c r="B122" s="90"/>
      <c r="C122" s="90"/>
      <c r="D122" s="90"/>
      <c r="E122" s="395">
        <v>150</v>
      </c>
      <c r="F122" s="90"/>
      <c r="G122" s="90"/>
    </row>
    <row r="123" spans="1:7" ht="15">
      <c r="A123" s="334" t="s">
        <v>891</v>
      </c>
      <c r="B123" s="90"/>
      <c r="C123" s="90"/>
      <c r="D123" s="90"/>
      <c r="E123" s="215">
        <v>100</v>
      </c>
      <c r="F123" s="90"/>
      <c r="G123" s="90"/>
    </row>
    <row r="124" spans="1:7" ht="15">
      <c r="A124" s="225" t="s">
        <v>892</v>
      </c>
      <c r="B124" s="90"/>
      <c r="C124" s="90"/>
      <c r="D124" s="90"/>
      <c r="E124" s="395">
        <v>30</v>
      </c>
      <c r="F124" s="90"/>
      <c r="G124" s="90"/>
    </row>
    <row r="125" spans="1:7" ht="15">
      <c r="A125" s="334" t="s">
        <v>893</v>
      </c>
      <c r="B125" s="90"/>
      <c r="C125" s="90"/>
      <c r="D125" s="90"/>
      <c r="E125" s="215">
        <v>100</v>
      </c>
      <c r="F125" s="90"/>
      <c r="G125" s="90"/>
    </row>
    <row r="126" spans="1:7" ht="15">
      <c r="A126" s="225" t="s">
        <v>894</v>
      </c>
      <c r="B126" s="90"/>
      <c r="C126" s="90"/>
      <c r="D126" s="90"/>
      <c r="E126" s="395">
        <v>30</v>
      </c>
      <c r="F126" s="90"/>
      <c r="G126" s="90"/>
    </row>
    <row r="127" spans="1:7" ht="15">
      <c r="A127" s="225" t="s">
        <v>895</v>
      </c>
      <c r="B127" s="90"/>
      <c r="C127" s="90"/>
      <c r="D127" s="90"/>
      <c r="E127" s="369">
        <v>20</v>
      </c>
      <c r="F127" s="90"/>
      <c r="G127" s="90"/>
    </row>
    <row r="128" spans="1:7" ht="15">
      <c r="A128" s="225" t="s">
        <v>896</v>
      </c>
      <c r="B128" s="90"/>
      <c r="C128" s="90"/>
      <c r="D128" s="90"/>
      <c r="E128" s="369">
        <v>18</v>
      </c>
      <c r="F128" s="90"/>
      <c r="G128" s="90"/>
    </row>
    <row r="129" spans="1:7" ht="15">
      <c r="A129" s="225" t="s">
        <v>897</v>
      </c>
      <c r="B129" s="90"/>
      <c r="C129" s="90"/>
      <c r="D129" s="90"/>
      <c r="E129" s="369">
        <v>120</v>
      </c>
      <c r="F129" s="90"/>
      <c r="G129" s="90"/>
    </row>
    <row r="130" spans="1:7" ht="15">
      <c r="A130" s="225" t="s">
        <v>898</v>
      </c>
      <c r="B130" s="90"/>
      <c r="C130" s="90"/>
      <c r="D130" s="90"/>
      <c r="E130" s="390">
        <v>7</v>
      </c>
      <c r="F130" s="90"/>
      <c r="G130" s="90"/>
    </row>
    <row r="131" spans="1:7" ht="15">
      <c r="A131" s="225" t="s">
        <v>899</v>
      </c>
      <c r="B131" s="90"/>
      <c r="C131" s="90"/>
      <c r="D131" s="90"/>
      <c r="E131" s="390">
        <v>4</v>
      </c>
      <c r="F131" s="90"/>
      <c r="G131" s="90"/>
    </row>
    <row r="132" spans="1:7" ht="15">
      <c r="A132" s="225" t="s">
        <v>900</v>
      </c>
      <c r="B132" s="90"/>
      <c r="C132" s="90"/>
      <c r="D132" s="90"/>
      <c r="E132" s="390">
        <v>1.75</v>
      </c>
      <c r="F132" s="90"/>
      <c r="G132" s="90"/>
    </row>
    <row r="133" spans="1:7" ht="15">
      <c r="A133" s="225" t="s">
        <v>901</v>
      </c>
      <c r="B133" s="90"/>
      <c r="C133" s="90"/>
      <c r="D133" s="90"/>
      <c r="E133" s="390">
        <v>1.5</v>
      </c>
      <c r="F133" s="90"/>
      <c r="G133" s="90"/>
    </row>
    <row r="134" spans="1:7" ht="15">
      <c r="A134" s="334" t="s">
        <v>902</v>
      </c>
      <c r="B134" s="90"/>
      <c r="C134" s="90"/>
      <c r="D134" s="90"/>
      <c r="E134" s="390">
        <v>60</v>
      </c>
      <c r="F134" s="90"/>
      <c r="G134" s="90"/>
    </row>
    <row r="135" spans="1:7" ht="15">
      <c r="A135" s="334" t="s">
        <v>903</v>
      </c>
      <c r="B135" s="90"/>
      <c r="C135" s="90"/>
      <c r="D135" s="90"/>
      <c r="E135" s="390">
        <v>20</v>
      </c>
      <c r="F135" s="90"/>
      <c r="G135" s="90"/>
    </row>
    <row r="136" spans="1:7" ht="15">
      <c r="A136" s="225" t="s">
        <v>904</v>
      </c>
      <c r="B136" s="90"/>
      <c r="C136" s="90"/>
      <c r="D136" s="90"/>
      <c r="E136" s="390">
        <v>50</v>
      </c>
      <c r="F136" s="90"/>
      <c r="G136" s="90"/>
    </row>
    <row r="137" spans="1:7" ht="15">
      <c r="A137" s="225" t="s">
        <v>905</v>
      </c>
      <c r="B137" s="90"/>
      <c r="C137" s="90"/>
      <c r="D137" s="90"/>
      <c r="E137" s="390">
        <v>2</v>
      </c>
      <c r="F137" s="90"/>
      <c r="G137" s="90"/>
    </row>
    <row r="138" spans="1:7" ht="15">
      <c r="A138" s="225" t="s">
        <v>906</v>
      </c>
      <c r="B138" s="90"/>
      <c r="C138" s="90"/>
      <c r="D138" s="90"/>
      <c r="E138" s="390">
        <v>40</v>
      </c>
      <c r="F138" s="90"/>
      <c r="G138" s="90"/>
    </row>
    <row r="139" spans="1:7" ht="15">
      <c r="A139" s="334" t="s">
        <v>907</v>
      </c>
      <c r="B139" s="90"/>
      <c r="C139" s="90"/>
      <c r="D139" s="90"/>
      <c r="E139" s="390">
        <v>1.25</v>
      </c>
      <c r="F139" s="90"/>
      <c r="G139" s="90"/>
    </row>
    <row r="140" spans="1:7" ht="15">
      <c r="A140" s="225" t="s">
        <v>913</v>
      </c>
      <c r="B140" s="90"/>
      <c r="C140" s="90"/>
      <c r="D140" s="90"/>
      <c r="E140" s="389">
        <v>0.253</v>
      </c>
      <c r="F140" s="90"/>
      <c r="G140" s="90"/>
    </row>
    <row r="141" spans="1:7" ht="15">
      <c r="A141" s="225" t="s">
        <v>909</v>
      </c>
      <c r="B141" s="90"/>
      <c r="C141" s="90"/>
      <c r="D141" s="90"/>
      <c r="E141" s="389">
        <v>0.05</v>
      </c>
      <c r="F141" s="90"/>
      <c r="G141" s="90"/>
    </row>
    <row r="142" spans="1:7" ht="15">
      <c r="A142" s="225" t="s">
        <v>910</v>
      </c>
      <c r="B142" s="90"/>
      <c r="C142" s="90"/>
      <c r="D142" s="90"/>
      <c r="E142" s="389">
        <v>0.008</v>
      </c>
      <c r="F142" s="90"/>
      <c r="G142" s="90"/>
    </row>
    <row r="143" spans="1:7" ht="15">
      <c r="A143" s="225" t="s">
        <v>908</v>
      </c>
      <c r="B143" s="90"/>
      <c r="C143" s="90"/>
      <c r="D143" s="90"/>
      <c r="E143" s="390">
        <v>10</v>
      </c>
      <c r="F143" s="90"/>
      <c r="G143" s="90"/>
    </row>
    <row r="144" spans="1:7" ht="15">
      <c r="A144" s="225" t="s">
        <v>911</v>
      </c>
      <c r="B144" s="90"/>
      <c r="C144" s="90"/>
      <c r="D144" s="90"/>
      <c r="E144" s="369">
        <v>170</v>
      </c>
      <c r="F144" s="90"/>
      <c r="G144" s="90"/>
    </row>
    <row r="145" spans="1:7" ht="15">
      <c r="A145" s="225" t="s">
        <v>912</v>
      </c>
      <c r="B145" s="90"/>
      <c r="C145" s="90"/>
      <c r="D145" s="90"/>
      <c r="E145" s="369">
        <v>10</v>
      </c>
      <c r="F145" s="90"/>
      <c r="G145" s="90"/>
    </row>
    <row r="146" spans="1:7" ht="15">
      <c r="A146" s="334" t="s">
        <v>914</v>
      </c>
      <c r="B146" s="90"/>
      <c r="C146" s="90"/>
      <c r="D146" s="90"/>
      <c r="E146" s="369">
        <v>35</v>
      </c>
      <c r="F146" s="90"/>
      <c r="G146" s="90"/>
    </row>
    <row r="147" spans="1:7" ht="15">
      <c r="A147" s="225" t="s">
        <v>915</v>
      </c>
      <c r="B147" s="334"/>
      <c r="C147" s="334"/>
      <c r="D147" s="334"/>
      <c r="E147" s="390">
        <v>150</v>
      </c>
      <c r="F147" s="90"/>
      <c r="G147" s="90"/>
    </row>
    <row r="148" spans="1:7" ht="15">
      <c r="A148" s="225" t="s">
        <v>916</v>
      </c>
      <c r="B148" s="334"/>
      <c r="C148" s="334"/>
      <c r="D148" s="334"/>
      <c r="E148" s="390">
        <v>375</v>
      </c>
      <c r="F148" s="90"/>
      <c r="G148" s="90"/>
    </row>
    <row r="149" spans="1:7" ht="15">
      <c r="A149" s="225" t="s">
        <v>917</v>
      </c>
      <c r="B149" s="334"/>
      <c r="C149" s="334"/>
      <c r="D149" s="334"/>
      <c r="E149" s="215">
        <v>6.85</v>
      </c>
      <c r="F149" s="90"/>
      <c r="G149" s="90"/>
    </row>
    <row r="150" spans="1:7" ht="15">
      <c r="A150" s="225" t="s">
        <v>918</v>
      </c>
      <c r="B150" s="334"/>
      <c r="C150" s="334"/>
      <c r="D150" s="334"/>
      <c r="E150" s="215">
        <v>1.4</v>
      </c>
      <c r="F150" s="90"/>
      <c r="G150" s="90"/>
    </row>
    <row r="151" spans="1:5" ht="15">
      <c r="A151" s="225" t="s">
        <v>919</v>
      </c>
      <c r="B151" s="334"/>
      <c r="C151" s="334"/>
      <c r="D151" s="334"/>
      <c r="E151" s="215">
        <v>3.25</v>
      </c>
    </row>
    <row r="152" spans="1:5" ht="15">
      <c r="A152" s="225" t="s">
        <v>937</v>
      </c>
      <c r="B152" s="459"/>
      <c r="C152" s="459"/>
      <c r="D152" s="459"/>
      <c r="E152" s="215">
        <v>15</v>
      </c>
    </row>
    <row r="153" spans="1:5" ht="15">
      <c r="A153" s="284" t="s">
        <v>966</v>
      </c>
      <c r="B153" s="408"/>
      <c r="C153" s="408"/>
      <c r="D153" s="408"/>
      <c r="E153" s="506">
        <v>10</v>
      </c>
    </row>
    <row r="154" spans="1:5" ht="15">
      <c r="A154" s="284" t="s">
        <v>967</v>
      </c>
      <c r="B154" s="408"/>
      <c r="C154" s="408"/>
      <c r="D154" s="408"/>
      <c r="E154" s="506">
        <v>10</v>
      </c>
    </row>
    <row r="155" spans="1:5" ht="15">
      <c r="A155" s="284" t="s">
        <v>968</v>
      </c>
      <c r="B155" s="408"/>
      <c r="C155" s="408"/>
      <c r="D155" s="408"/>
      <c r="E155" s="506">
        <v>7</v>
      </c>
    </row>
    <row r="156" spans="1:5" ht="15">
      <c r="A156" s="284" t="s">
        <v>969</v>
      </c>
      <c r="B156" s="408"/>
      <c r="C156" s="408"/>
      <c r="D156" s="408"/>
      <c r="E156" s="506">
        <v>10</v>
      </c>
    </row>
    <row r="157" spans="1:5" ht="15">
      <c r="A157" s="284" t="s">
        <v>970</v>
      </c>
      <c r="B157" s="408"/>
      <c r="C157" s="408"/>
      <c r="D157" s="408"/>
      <c r="E157" s="506">
        <v>8.5</v>
      </c>
    </row>
    <row r="158" spans="1:5" ht="15">
      <c r="A158" s="284" t="s">
        <v>971</v>
      </c>
      <c r="B158" s="408"/>
      <c r="C158" s="408"/>
      <c r="D158" s="408"/>
      <c r="E158" s="506">
        <v>10</v>
      </c>
    </row>
    <row r="159" spans="1:5" ht="15">
      <c r="A159" s="284" t="s">
        <v>972</v>
      </c>
      <c r="B159" s="424"/>
      <c r="C159" s="424"/>
      <c r="D159" s="424"/>
      <c r="E159" s="506">
        <v>30</v>
      </c>
    </row>
    <row r="160" spans="1:5" ht="15">
      <c r="A160" s="284" t="s">
        <v>973</v>
      </c>
      <c r="B160" s="424"/>
      <c r="C160" s="424"/>
      <c r="D160" s="424"/>
      <c r="E160" s="506">
        <v>100</v>
      </c>
    </row>
    <row r="161" spans="1:5" ht="15">
      <c r="A161" s="284" t="s">
        <v>1013</v>
      </c>
      <c r="B161" s="424"/>
      <c r="C161" s="424"/>
      <c r="D161" s="424"/>
      <c r="E161" s="506">
        <v>0.06</v>
      </c>
    </row>
    <row r="162" spans="1:5" ht="15">
      <c r="A162" s="284" t="s">
        <v>1015</v>
      </c>
      <c r="B162" s="90"/>
      <c r="C162" s="90"/>
      <c r="D162" s="90"/>
      <c r="E162" s="520">
        <v>0.115</v>
      </c>
    </row>
    <row r="163" spans="1:5" ht="15">
      <c r="A163" s="284" t="s">
        <v>1014</v>
      </c>
      <c r="B163" s="424"/>
      <c r="C163" s="424"/>
      <c r="D163" s="424"/>
      <c r="E163" s="506">
        <v>550</v>
      </c>
    </row>
    <row r="164" spans="1:5" ht="15">
      <c r="A164" s="424"/>
      <c r="B164" s="424"/>
      <c r="C164" s="424"/>
      <c r="D164" s="424"/>
      <c r="E164" s="424"/>
    </row>
    <row r="165" spans="1:5" ht="15">
      <c r="A165" s="424"/>
      <c r="B165" s="424"/>
      <c r="C165" s="424"/>
      <c r="D165" s="424"/>
      <c r="E165" s="424"/>
    </row>
    <row r="166" spans="1:5" ht="15">
      <c r="A166" s="424"/>
      <c r="B166" s="424"/>
      <c r="C166" s="424"/>
      <c r="D166" s="424"/>
      <c r="E166" s="424"/>
    </row>
    <row r="167" spans="1:5" ht="15">
      <c r="A167" s="424"/>
      <c r="B167" s="424"/>
      <c r="C167" s="424"/>
      <c r="D167" s="424"/>
      <c r="E167" s="424"/>
    </row>
    <row r="168" spans="1:5" ht="15">
      <c r="A168" s="424"/>
      <c r="B168" s="424"/>
      <c r="C168" s="424"/>
      <c r="D168" s="424"/>
      <c r="E168" s="424"/>
    </row>
    <row r="169" spans="1:5" ht="15">
      <c r="A169" s="424"/>
      <c r="B169" s="424"/>
      <c r="C169" s="424"/>
      <c r="D169" s="424"/>
      <c r="E169" s="424"/>
    </row>
    <row r="170" spans="1:5" ht="15">
      <c r="A170" s="424"/>
      <c r="B170" s="424"/>
      <c r="C170" s="424"/>
      <c r="D170" s="424"/>
      <c r="E170" s="424"/>
    </row>
    <row r="171" spans="1:5" ht="15">
      <c r="A171" s="424"/>
      <c r="B171" s="424"/>
      <c r="C171" s="424"/>
      <c r="D171" s="424"/>
      <c r="E171" s="424"/>
    </row>
    <row r="172" spans="1:5" ht="15">
      <c r="A172" s="424"/>
      <c r="B172" s="424"/>
      <c r="C172" s="424"/>
      <c r="D172" s="424"/>
      <c r="E172" s="424"/>
    </row>
    <row r="173" spans="1:5" ht="15">
      <c r="A173" s="424"/>
      <c r="B173" s="424"/>
      <c r="C173" s="424"/>
      <c r="D173" s="424"/>
      <c r="E173" s="424"/>
    </row>
    <row r="174" spans="1:5" ht="15">
      <c r="A174" s="424"/>
      <c r="B174" s="424"/>
      <c r="C174" s="424"/>
      <c r="D174" s="424"/>
      <c r="E174" s="424"/>
    </row>
    <row r="175" spans="1:5" ht="15">
      <c r="A175" s="424"/>
      <c r="B175" s="424"/>
      <c r="C175" s="424"/>
      <c r="D175" s="424"/>
      <c r="E175" s="424"/>
    </row>
    <row r="176" spans="1:5" ht="15">
      <c r="A176" s="424"/>
      <c r="B176" s="424"/>
      <c r="C176" s="424"/>
      <c r="D176" s="424"/>
      <c r="E176" s="424"/>
    </row>
    <row r="177" spans="1:5" ht="15">
      <c r="A177" s="424"/>
      <c r="B177" s="424"/>
      <c r="C177" s="424"/>
      <c r="D177" s="424"/>
      <c r="E177" s="424"/>
    </row>
    <row r="178" spans="1:5" ht="15">
      <c r="A178" s="424"/>
      <c r="B178" s="424"/>
      <c r="C178" s="424"/>
      <c r="D178" s="424"/>
      <c r="E178" s="424"/>
    </row>
    <row r="179" spans="1:5" ht="15">
      <c r="A179" s="424"/>
      <c r="B179" s="424"/>
      <c r="C179" s="424"/>
      <c r="D179" s="424"/>
      <c r="E179" s="424"/>
    </row>
    <row r="180" spans="1:5" ht="15">
      <c r="A180" s="424"/>
      <c r="B180" s="424"/>
      <c r="C180" s="424"/>
      <c r="D180" s="424"/>
      <c r="E180" s="424"/>
    </row>
    <row r="181" spans="1:5" ht="15">
      <c r="A181" s="424"/>
      <c r="B181" s="424"/>
      <c r="C181" s="424"/>
      <c r="D181" s="424"/>
      <c r="E181" s="424"/>
    </row>
    <row r="182" spans="1:5" ht="15">
      <c r="A182" s="424"/>
      <c r="B182" s="424"/>
      <c r="C182" s="424"/>
      <c r="D182" s="424"/>
      <c r="E182" s="424"/>
    </row>
    <row r="183" spans="1:5" ht="15">
      <c r="A183" s="424"/>
      <c r="B183" s="424"/>
      <c r="C183" s="424"/>
      <c r="D183" s="424"/>
      <c r="E183" s="424"/>
    </row>
    <row r="184" spans="1:5" ht="15">
      <c r="A184" s="424"/>
      <c r="B184" s="424"/>
      <c r="C184" s="424"/>
      <c r="D184" s="424"/>
      <c r="E184" s="424"/>
    </row>
    <row r="185" spans="1:5" ht="15">
      <c r="A185" s="424"/>
      <c r="B185" s="424"/>
      <c r="C185" s="424"/>
      <c r="D185" s="424"/>
      <c r="E185" s="424"/>
    </row>
    <row r="186" spans="1:5" ht="15">
      <c r="A186" s="424"/>
      <c r="B186" s="424"/>
      <c r="C186" s="424"/>
      <c r="D186" s="424"/>
      <c r="E186" s="424"/>
    </row>
    <row r="187" spans="1:5" ht="15">
      <c r="A187" s="424"/>
      <c r="B187" s="424"/>
      <c r="C187" s="424"/>
      <c r="D187" s="424"/>
      <c r="E187" s="424"/>
    </row>
    <row r="188" spans="1:5" ht="15">
      <c r="A188" s="424"/>
      <c r="B188" s="424"/>
      <c r="C188" s="424"/>
      <c r="D188" s="424"/>
      <c r="E188" s="424"/>
    </row>
    <row r="189" spans="1:5" ht="15">
      <c r="A189" s="424"/>
      <c r="B189" s="424"/>
      <c r="C189" s="424"/>
      <c r="D189" s="424"/>
      <c r="E189" s="424"/>
    </row>
    <row r="190" spans="1:5" ht="15">
      <c r="A190" s="424"/>
      <c r="B190" s="424"/>
      <c r="C190" s="424"/>
      <c r="D190" s="424"/>
      <c r="E190" s="424"/>
    </row>
    <row r="191" spans="1:5" ht="15">
      <c r="A191" s="424"/>
      <c r="B191" s="424"/>
      <c r="C191" s="424"/>
      <c r="D191" s="424"/>
      <c r="E191" s="424"/>
    </row>
    <row r="192" spans="1:5" ht="15">
      <c r="A192" s="424"/>
      <c r="B192" s="424"/>
      <c r="C192" s="424"/>
      <c r="D192" s="424"/>
      <c r="E192" s="424"/>
    </row>
    <row r="193" spans="1:5" ht="15">
      <c r="A193" s="424"/>
      <c r="B193" s="424"/>
      <c r="C193" s="424"/>
      <c r="D193" s="424"/>
      <c r="E193" s="424"/>
    </row>
    <row r="194" spans="1:5" ht="15">
      <c r="A194" s="424"/>
      <c r="B194" s="424"/>
      <c r="C194" s="424"/>
      <c r="D194" s="424"/>
      <c r="E194" s="424"/>
    </row>
    <row r="195" spans="1:5" ht="15">
      <c r="A195" s="424"/>
      <c r="B195" s="424"/>
      <c r="C195" s="424"/>
      <c r="D195" s="424"/>
      <c r="E195" s="424"/>
    </row>
    <row r="196" spans="1:5" ht="15">
      <c r="A196" s="424"/>
      <c r="B196" s="424"/>
      <c r="C196" s="424"/>
      <c r="D196" s="424"/>
      <c r="E196" s="424"/>
    </row>
    <row r="197" spans="1:5" ht="15">
      <c r="A197" s="424"/>
      <c r="B197" s="424"/>
      <c r="C197" s="424"/>
      <c r="D197" s="424"/>
      <c r="E197" s="424"/>
    </row>
    <row r="198" spans="1:5" ht="15">
      <c r="A198" s="424"/>
      <c r="B198" s="424"/>
      <c r="C198" s="424"/>
      <c r="D198" s="424"/>
      <c r="E198" s="424"/>
    </row>
    <row r="199" spans="1:5" ht="15">
      <c r="A199" s="424"/>
      <c r="B199" s="424"/>
      <c r="C199" s="424"/>
      <c r="D199" s="424"/>
      <c r="E199" s="424"/>
    </row>
    <row r="200" spans="1:5" ht="15">
      <c r="A200" s="424"/>
      <c r="B200" s="424"/>
      <c r="C200" s="424"/>
      <c r="D200" s="424"/>
      <c r="E200" s="42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61"/>
  <sheetViews>
    <sheetView zoomScale="70" zoomScaleNormal="70" zoomScalePageLayoutView="0" workbookViewId="0" topLeftCell="A1">
      <selection activeCell="B20" sqref="B20"/>
    </sheetView>
  </sheetViews>
  <sheetFormatPr defaultColWidth="9.6640625" defaultRowHeight="15"/>
  <cols>
    <col min="1" max="1" width="6.4453125" style="90" customWidth="1"/>
    <col min="2" max="2" width="36.6640625" style="90" customWidth="1"/>
    <col min="3" max="5" width="10.6640625" style="90" customWidth="1"/>
    <col min="6" max="8" width="6.6640625" style="89" customWidth="1"/>
    <col min="9" max="9" width="6.6640625" style="121" customWidth="1"/>
    <col min="10" max="12" width="7.6640625" style="89" customWidth="1"/>
    <col min="13" max="13" width="6.6640625" style="90" customWidth="1"/>
    <col min="14" max="14" width="8.6640625" style="90" customWidth="1"/>
    <col min="15" max="15" width="10.21484375" style="90" customWidth="1"/>
    <col min="16" max="16" width="6.6640625" style="90" customWidth="1"/>
    <col min="17" max="17" width="7.6640625" style="90" customWidth="1"/>
    <col min="18" max="18" width="6.6640625" style="90" customWidth="1"/>
    <col min="19" max="19" width="9.4453125" style="90" customWidth="1"/>
    <col min="20" max="20" width="9.6640625" style="90" customWidth="1"/>
    <col min="21" max="24" width="6.6640625" style="90" customWidth="1"/>
    <col min="25" max="25" width="6.4453125" style="90" customWidth="1"/>
    <col min="26" max="27" width="6.6640625" style="90" customWidth="1"/>
    <col min="28" max="28" width="9.6640625" style="209" customWidth="1"/>
    <col min="29" max="30" width="10.21484375" style="90" bestFit="1" customWidth="1"/>
    <col min="31" max="16384" width="9.6640625" style="90" customWidth="1"/>
  </cols>
  <sheetData>
    <row r="1" spans="1:27" ht="15" thickBot="1">
      <c r="A1" s="426" t="s">
        <v>175</v>
      </c>
      <c r="B1" s="78"/>
      <c r="C1" s="78"/>
      <c r="D1" s="78"/>
      <c r="E1" s="78"/>
      <c r="F1" s="88"/>
      <c r="G1" s="88"/>
      <c r="H1" s="88"/>
      <c r="I1" s="296"/>
      <c r="J1" s="88"/>
      <c r="K1" s="88"/>
      <c r="L1" s="88"/>
      <c r="M1" s="409"/>
      <c r="N1" s="409"/>
      <c r="O1" s="409"/>
      <c r="P1" s="409"/>
      <c r="Q1" s="409"/>
      <c r="R1" s="409"/>
      <c r="S1" s="409"/>
      <c r="T1" s="409"/>
      <c r="U1" s="424"/>
      <c r="V1" s="424"/>
      <c r="W1" s="424"/>
      <c r="X1" s="424"/>
      <c r="Y1" s="424"/>
      <c r="Z1" s="424"/>
      <c r="AA1" s="424"/>
    </row>
    <row r="2" spans="1:27" ht="15" thickTop="1">
      <c r="A2" s="427"/>
      <c r="B2" s="427"/>
      <c r="C2" s="428" t="s">
        <v>178</v>
      </c>
      <c r="D2" s="428" t="s">
        <v>178</v>
      </c>
      <c r="E2" s="429"/>
      <c r="F2" s="298" t="s">
        <v>601</v>
      </c>
      <c r="G2" s="299" t="s">
        <v>602</v>
      </c>
      <c r="H2" s="300" t="s">
        <v>603</v>
      </c>
      <c r="I2" s="301"/>
      <c r="J2" s="299" t="s">
        <v>604</v>
      </c>
      <c r="K2" s="299" t="s">
        <v>605</v>
      </c>
      <c r="L2" s="299" t="s">
        <v>2</v>
      </c>
      <c r="M2" s="428"/>
      <c r="N2" s="428"/>
      <c r="O2" s="428"/>
      <c r="P2" s="428"/>
      <c r="Q2" s="428"/>
      <c r="R2" s="428"/>
      <c r="S2" s="428"/>
      <c r="T2" s="428" t="s">
        <v>606</v>
      </c>
      <c r="U2" s="428" t="s">
        <v>607</v>
      </c>
      <c r="V2" s="430"/>
      <c r="W2" s="431"/>
      <c r="X2" s="297"/>
      <c r="Y2" s="302"/>
      <c r="Z2" s="303"/>
      <c r="AA2" s="432"/>
    </row>
    <row r="3" spans="1:27" ht="15">
      <c r="A3" s="433"/>
      <c r="B3" s="434"/>
      <c r="C3" s="435" t="s">
        <v>608</v>
      </c>
      <c r="D3" s="435" t="s">
        <v>608</v>
      </c>
      <c r="E3" s="435" t="s">
        <v>53</v>
      </c>
      <c r="F3" s="305" t="s">
        <v>609</v>
      </c>
      <c r="G3" s="306" t="s">
        <v>610</v>
      </c>
      <c r="H3" s="306" t="s">
        <v>611</v>
      </c>
      <c r="I3" s="307"/>
      <c r="J3" s="306" t="s">
        <v>612</v>
      </c>
      <c r="K3" s="306" t="s">
        <v>613</v>
      </c>
      <c r="L3" s="306" t="s">
        <v>604</v>
      </c>
      <c r="M3" s="304" t="s">
        <v>614</v>
      </c>
      <c r="N3" s="304"/>
      <c r="O3" s="304"/>
      <c r="P3" s="304"/>
      <c r="Q3" s="304"/>
      <c r="R3" s="304"/>
      <c r="S3" s="304" t="s">
        <v>615</v>
      </c>
      <c r="T3" s="435" t="s">
        <v>616</v>
      </c>
      <c r="U3" s="435" t="s">
        <v>617</v>
      </c>
      <c r="V3" s="435" t="s">
        <v>618</v>
      </c>
      <c r="W3" s="435" t="s">
        <v>619</v>
      </c>
      <c r="X3" s="304" t="s">
        <v>620</v>
      </c>
      <c r="Y3" s="304" t="s">
        <v>621</v>
      </c>
      <c r="Z3" s="304" t="s">
        <v>622</v>
      </c>
      <c r="AA3" s="304" t="s">
        <v>623</v>
      </c>
    </row>
    <row r="4" spans="1:27" ht="15" thickBot="1">
      <c r="A4" s="436"/>
      <c r="B4" s="437" t="s">
        <v>29</v>
      </c>
      <c r="C4" s="438" t="s">
        <v>624</v>
      </c>
      <c r="D4" s="438" t="s">
        <v>58</v>
      </c>
      <c r="E4" s="438" t="s">
        <v>59</v>
      </c>
      <c r="F4" s="309" t="s">
        <v>625</v>
      </c>
      <c r="G4" s="310" t="s">
        <v>626</v>
      </c>
      <c r="H4" s="310" t="s">
        <v>627</v>
      </c>
      <c r="I4" s="311" t="s">
        <v>628</v>
      </c>
      <c r="J4" s="310" t="s">
        <v>629</v>
      </c>
      <c r="K4" s="310" t="s">
        <v>630</v>
      </c>
      <c r="L4" s="310" t="s">
        <v>630</v>
      </c>
      <c r="M4" s="308" t="s">
        <v>631</v>
      </c>
      <c r="N4" s="308" t="s">
        <v>632</v>
      </c>
      <c r="O4" s="308" t="s">
        <v>633</v>
      </c>
      <c r="P4" s="308" t="s">
        <v>634</v>
      </c>
      <c r="Q4" s="308" t="s">
        <v>635</v>
      </c>
      <c r="R4" s="308" t="s">
        <v>636</v>
      </c>
      <c r="S4" s="308" t="s">
        <v>188</v>
      </c>
      <c r="T4" s="438" t="s">
        <v>637</v>
      </c>
      <c r="U4" s="438" t="s">
        <v>637</v>
      </c>
      <c r="V4" s="438" t="s">
        <v>637</v>
      </c>
      <c r="W4" s="438" t="s">
        <v>637</v>
      </c>
      <c r="X4" s="308" t="s">
        <v>637</v>
      </c>
      <c r="Y4" s="308" t="s">
        <v>637</v>
      </c>
      <c r="Z4" s="308" t="s">
        <v>637</v>
      </c>
      <c r="AA4" s="308" t="s">
        <v>630</v>
      </c>
    </row>
    <row r="5" spans="1:27" ht="15" thickTop="1">
      <c r="A5" s="312"/>
      <c r="B5" s="422"/>
      <c r="C5" s="422"/>
      <c r="D5" s="422"/>
      <c r="E5" s="422"/>
      <c r="F5" s="106"/>
      <c r="G5" s="106"/>
      <c r="H5" s="106"/>
      <c r="I5" s="313"/>
      <c r="J5" s="106"/>
      <c r="K5" s="106"/>
      <c r="L5" s="106"/>
      <c r="M5" s="107"/>
      <c r="N5" s="107"/>
      <c r="O5" s="107"/>
      <c r="P5" s="107"/>
      <c r="Q5" s="107"/>
      <c r="R5" s="107"/>
      <c r="S5" s="107"/>
      <c r="T5" s="409"/>
      <c r="U5" s="424"/>
      <c r="V5" s="424"/>
      <c r="W5" s="424"/>
      <c r="X5" s="424"/>
      <c r="Y5" s="424"/>
      <c r="Z5" s="424"/>
      <c r="AA5" s="424"/>
    </row>
    <row r="6" spans="1:27" ht="15">
      <c r="A6" s="423" t="s">
        <v>186</v>
      </c>
      <c r="B6" s="79"/>
      <c r="C6" s="66"/>
      <c r="D6" s="79"/>
      <c r="E6" s="79"/>
      <c r="F6" s="92"/>
      <c r="J6" s="314"/>
      <c r="K6" s="314"/>
      <c r="L6" s="314"/>
      <c r="M6" s="66"/>
      <c r="N6" s="66"/>
      <c r="O6" s="66"/>
      <c r="P6" s="66"/>
      <c r="Q6" s="66"/>
      <c r="R6" s="66"/>
      <c r="S6" s="66"/>
      <c r="T6" s="409"/>
      <c r="U6" s="424"/>
      <c r="V6" s="424"/>
      <c r="W6" s="424"/>
      <c r="X6" s="424"/>
      <c r="Y6" s="424"/>
      <c r="Z6" s="424"/>
      <c r="AA6" s="424"/>
    </row>
    <row r="7" spans="1:31" ht="15">
      <c r="A7" s="222">
        <v>1</v>
      </c>
      <c r="B7" s="405" t="s">
        <v>638</v>
      </c>
      <c r="C7" s="214">
        <v>323000</v>
      </c>
      <c r="D7" s="214">
        <v>289999</v>
      </c>
      <c r="E7" s="64">
        <f aca="true" t="shared" si="0" ref="E7:E29">IF(C7=0,D7,IF(D7=0,C7,AVERAGE(C7,D7)))</f>
        <v>306499.5</v>
      </c>
      <c r="F7" s="315">
        <v>1</v>
      </c>
      <c r="G7" s="315" t="s">
        <v>43</v>
      </c>
      <c r="H7" s="315">
        <v>12</v>
      </c>
      <c r="I7" s="222">
        <v>3</v>
      </c>
      <c r="J7" s="316">
        <v>225</v>
      </c>
      <c r="K7" s="316">
        <v>10</v>
      </c>
      <c r="L7" s="269">
        <v>2500</v>
      </c>
      <c r="M7" s="209">
        <v>0.7</v>
      </c>
      <c r="N7" s="209">
        <v>0.33</v>
      </c>
      <c r="O7" s="209">
        <v>0.000251</v>
      </c>
      <c r="P7" s="209">
        <v>1.8</v>
      </c>
      <c r="Q7" s="209">
        <v>0.64</v>
      </c>
      <c r="R7" s="209">
        <v>0.895</v>
      </c>
      <c r="S7" s="88">
        <f>E7*Q7*(R7^K7)</f>
        <v>64690.43887762509</v>
      </c>
      <c r="T7" s="317">
        <f>(E7-S7)/(J7*K7)</f>
        <v>107.47069383216662</v>
      </c>
      <c r="U7" s="317">
        <f>((E7+S7)*(Rates!$E$5/1000))/(2*J7)</f>
        <v>4.949199185035001</v>
      </c>
      <c r="V7" s="424">
        <f>(E7*(Rates!$E$6/1000))/J7</f>
        <v>0</v>
      </c>
      <c r="W7" s="317">
        <f>((E7+S7)*(Rates!$E$4/100))/(2*J7)</f>
        <v>41.243326541958346</v>
      </c>
      <c r="X7" s="424">
        <f>((E7*N7)*(AA7^P7))/(J7*K7)</f>
        <v>37.1875621710698</v>
      </c>
      <c r="Y7" s="318">
        <f>IF(F7="-","-",IF(I7="-",IF(F7=1,H7*Rates!$E$12*Rates!$E$7,IF(F7=2,H7*Rates!$E$13*Rates!$E$8,IF(F7=3,H7*Rates!$E$14*Rates!$E$9,"-"))),IF(F7=1,(E7/1000)*Rates!$E$12*Rates!$E$7,IF(F7=2,(E7/1000)*Rates!$E$13*Rates!$E$8,IF(F7=3,(E7/1000)*Rates!$E$14*Rates!$E$9,"-")))))</f>
        <v>30.895149600000003</v>
      </c>
      <c r="Z7" s="317">
        <f>IF(Y7="-","-",Y7*(Rates!$E$10/100))</f>
        <v>4.63427244</v>
      </c>
      <c r="AA7" s="317">
        <f aca="true" t="shared" si="1" ref="AA7:AA29">(K7*J7)/L7</f>
        <v>0.9</v>
      </c>
      <c r="AB7" s="226"/>
      <c r="AC7" s="214"/>
      <c r="AD7" s="214"/>
      <c r="AE7" s="214"/>
    </row>
    <row r="8" spans="1:31" ht="15">
      <c r="A8" s="222">
        <v>2</v>
      </c>
      <c r="B8" s="405" t="s">
        <v>639</v>
      </c>
      <c r="C8" s="214">
        <v>350000</v>
      </c>
      <c r="D8" s="214">
        <v>300000</v>
      </c>
      <c r="E8" s="64">
        <f t="shared" si="0"/>
        <v>325000</v>
      </c>
      <c r="F8" s="315">
        <v>1</v>
      </c>
      <c r="G8" s="315" t="s">
        <v>43</v>
      </c>
      <c r="H8" s="315">
        <v>16</v>
      </c>
      <c r="I8" s="222">
        <v>3</v>
      </c>
      <c r="J8" s="316">
        <v>225</v>
      </c>
      <c r="K8" s="316">
        <v>10</v>
      </c>
      <c r="L8" s="269">
        <v>2500</v>
      </c>
      <c r="M8" s="209">
        <v>0.7</v>
      </c>
      <c r="N8" s="209">
        <v>0.33</v>
      </c>
      <c r="O8" s="209">
        <v>0.000251</v>
      </c>
      <c r="P8" s="209">
        <v>1.8</v>
      </c>
      <c r="Q8" s="209">
        <v>0.64</v>
      </c>
      <c r="R8" s="209">
        <v>0.895</v>
      </c>
      <c r="S8" s="88">
        <f aca="true" t="shared" si="2" ref="S8:S27">E8*Q8*(R8^K8)</f>
        <v>68595.1939080754</v>
      </c>
      <c r="T8" s="317">
        <f>(E8-S8)/(J8*K8)</f>
        <v>113.95769159641094</v>
      </c>
      <c r="U8" s="317">
        <f>((E8+S8)*(Rates!$E$5/1000))/(2*J8)</f>
        <v>5.247935918774338</v>
      </c>
      <c r="V8" s="424">
        <f>(E8*(Rates!$E$6/1000))/J8</f>
        <v>0</v>
      </c>
      <c r="W8" s="317">
        <f>((E8+S8)*(Rates!$E$4/100))/(2*J8)</f>
        <v>43.732799323119494</v>
      </c>
      <c r="X8" s="424">
        <f aca="true" t="shared" si="3" ref="X8:X27">((E8*N8)*(AA8^P8))/(J8*K8)</f>
        <v>39.43222649824122</v>
      </c>
      <c r="Y8" s="318">
        <f>IF(F8="-","-",IF(I8="-",IF(F8=1,H8*Rates!$E$12*Rates!$E$7,IF(F8=2,H8*Rates!$E$13*Rates!$E$8,IF(F8=3,H8*Rates!$E$14*Rates!$E$9,"-"))),IF(F8=1,(E8/1000)*Rates!$E$12*Rates!$E$7,IF(F8=2,(E8/1000)*Rates!$E$13*Rates!$E$8,IF(F8=3,(E8/1000)*Rates!$E$14*Rates!$E$9,"-")))))</f>
        <v>32.76</v>
      </c>
      <c r="Z8" s="317">
        <f>IF(Y8="-","-",Y8*(Rates!$E$10/100))</f>
        <v>4.914</v>
      </c>
      <c r="AA8" s="317">
        <f t="shared" si="1"/>
        <v>0.9</v>
      </c>
      <c r="AB8" s="226"/>
      <c r="AC8" s="214"/>
      <c r="AD8" s="214"/>
      <c r="AE8" s="214"/>
    </row>
    <row r="9" spans="1:31" ht="15">
      <c r="A9" s="222">
        <v>3</v>
      </c>
      <c r="B9" s="405" t="s">
        <v>640</v>
      </c>
      <c r="C9" s="214">
        <v>450000</v>
      </c>
      <c r="D9" s="214">
        <v>425000</v>
      </c>
      <c r="E9" s="64">
        <f t="shared" si="0"/>
        <v>437500</v>
      </c>
      <c r="F9" s="315">
        <v>1</v>
      </c>
      <c r="G9" s="315" t="s">
        <v>43</v>
      </c>
      <c r="H9" s="315">
        <v>16</v>
      </c>
      <c r="I9" s="222">
        <v>3</v>
      </c>
      <c r="J9" s="316">
        <v>225</v>
      </c>
      <c r="K9" s="316">
        <v>10</v>
      </c>
      <c r="L9" s="269">
        <v>2500</v>
      </c>
      <c r="M9" s="209">
        <v>0.7</v>
      </c>
      <c r="N9" s="209">
        <v>0.33</v>
      </c>
      <c r="O9" s="209">
        <v>0.000251</v>
      </c>
      <c r="P9" s="209">
        <v>1.8</v>
      </c>
      <c r="Q9" s="209">
        <v>0.64</v>
      </c>
      <c r="R9" s="209">
        <v>0.895</v>
      </c>
      <c r="S9" s="88">
        <f t="shared" si="2"/>
        <v>92339.68410702457</v>
      </c>
      <c r="T9" s="317">
        <f aca="true" t="shared" si="4" ref="T9:T27">(E9-S9)/(J9*K9)</f>
        <v>153.40458484132242</v>
      </c>
      <c r="U9" s="317">
        <f>((E9+S9)*(Rates!$E$5/1000))/(2*J9)</f>
        <v>7.064529121426995</v>
      </c>
      <c r="V9" s="424">
        <f>(E9*(Rates!$E$6/1000))/J9</f>
        <v>0</v>
      </c>
      <c r="W9" s="317">
        <f>((E9+S9)*(Rates!$E$4/100))/(2*J9)</f>
        <v>58.871076011891624</v>
      </c>
      <c r="X9" s="424">
        <f t="shared" si="3"/>
        <v>53.08184336301702</v>
      </c>
      <c r="Y9" s="318">
        <f>IF(F9="-","-",IF(I9="-",IF(F9=1,H9*Rates!$E$12*Rates!$E$7,IF(F9=2,H9*Rates!$E$13*Rates!$E$8,IF(F9=3,H9*Rates!$E$14*Rates!$E$9,"-"))),IF(F9=1,(E9/1000)*Rates!$E$12*Rates!$E$7,IF(F9=2,(E9/1000)*Rates!$E$13*Rates!$E$8,IF(F9=3,(E9/1000)*Rates!$E$14*Rates!$E$9,"-")))))</f>
        <v>44.1</v>
      </c>
      <c r="Z9" s="317">
        <f>IF(Y9="-","-",Y9*(Rates!$E$10/100))</f>
        <v>6.615</v>
      </c>
      <c r="AA9" s="317">
        <f t="shared" si="1"/>
        <v>0.9</v>
      </c>
      <c r="AB9" s="226"/>
      <c r="AC9" s="214"/>
      <c r="AD9" s="214"/>
      <c r="AE9" s="214"/>
    </row>
    <row r="10" spans="1:31" ht="15">
      <c r="A10" s="222">
        <v>4</v>
      </c>
      <c r="B10" s="405" t="s">
        <v>641</v>
      </c>
      <c r="C10" s="214">
        <v>400000</v>
      </c>
      <c r="D10" s="214">
        <v>400000</v>
      </c>
      <c r="E10" s="64">
        <f t="shared" si="0"/>
        <v>400000</v>
      </c>
      <c r="F10" s="315">
        <v>1</v>
      </c>
      <c r="G10" s="315" t="s">
        <v>43</v>
      </c>
      <c r="H10" s="315">
        <v>12</v>
      </c>
      <c r="I10" s="222">
        <v>3</v>
      </c>
      <c r="J10" s="316">
        <v>225</v>
      </c>
      <c r="K10" s="316">
        <v>10</v>
      </c>
      <c r="L10" s="269">
        <v>2500</v>
      </c>
      <c r="M10" s="209">
        <v>0.7</v>
      </c>
      <c r="N10" s="209">
        <v>0.33</v>
      </c>
      <c r="O10" s="209">
        <v>0.000251</v>
      </c>
      <c r="P10" s="209">
        <v>1.8</v>
      </c>
      <c r="Q10" s="209">
        <v>0.64</v>
      </c>
      <c r="R10" s="209">
        <v>0.895</v>
      </c>
      <c r="S10" s="88">
        <f t="shared" si="2"/>
        <v>84424.85404070819</v>
      </c>
      <c r="T10" s="317">
        <f t="shared" si="4"/>
        <v>140.25562042635192</v>
      </c>
      <c r="U10" s="317">
        <f>((E10+S10)*(Rates!$E$5/1000))/(2*J10)</f>
        <v>6.458998053876109</v>
      </c>
      <c r="V10" s="424">
        <f>(E10*(Rates!$E$6/1000))/J10</f>
        <v>0</v>
      </c>
      <c r="W10" s="317">
        <f>((E10+S10)*(Rates!$E$4/100))/(2*J10)</f>
        <v>53.824983782300905</v>
      </c>
      <c r="X10" s="424">
        <f t="shared" si="3"/>
        <v>48.531971074758424</v>
      </c>
      <c r="Y10" s="318">
        <f>IF(F10="-","-",IF(I10="-",IF(F10=1,H10*Rates!$E$12*Rates!$E$7,IF(F10=2,H10*Rates!$E$13*Rates!$E$8,IF(F10=3,H10*Rates!$E$14*Rates!$E$9,"-"))),IF(F10=1,(E10/1000)*Rates!$E$12*Rates!$E$7,IF(F10=2,(E10/1000)*Rates!$E$13*Rates!$E$8,IF(F10=3,(E10/1000)*Rates!$E$14*Rates!$E$9,"-")))))</f>
        <v>40.32</v>
      </c>
      <c r="Z10" s="317">
        <f>IF(Y10="-","-",Y10*(Rates!$E$10/100))</f>
        <v>6.048</v>
      </c>
      <c r="AA10" s="317">
        <f t="shared" si="1"/>
        <v>0.9</v>
      </c>
      <c r="AB10" s="226"/>
      <c r="AC10" s="214"/>
      <c r="AD10" s="214"/>
      <c r="AE10" s="214"/>
    </row>
    <row r="11" spans="1:31" ht="15">
      <c r="A11" s="222">
        <v>5</v>
      </c>
      <c r="B11" s="405" t="s">
        <v>642</v>
      </c>
      <c r="C11" s="214">
        <v>141257.1975196182</v>
      </c>
      <c r="D11" s="214">
        <v>132274.556556765</v>
      </c>
      <c r="E11" s="64">
        <f t="shared" si="0"/>
        <v>136765.8770381916</v>
      </c>
      <c r="F11" s="315">
        <v>1</v>
      </c>
      <c r="G11" s="315" t="s">
        <v>43</v>
      </c>
      <c r="H11" s="315">
        <v>6</v>
      </c>
      <c r="I11" s="222">
        <v>3</v>
      </c>
      <c r="J11" s="316">
        <v>250</v>
      </c>
      <c r="K11" s="316">
        <v>12</v>
      </c>
      <c r="L11" s="269">
        <v>2500</v>
      </c>
      <c r="M11" s="209">
        <v>0.6</v>
      </c>
      <c r="N11" s="209">
        <v>0.75</v>
      </c>
      <c r="O11" s="209">
        <v>0.000251</v>
      </c>
      <c r="P11" s="209">
        <v>1.8</v>
      </c>
      <c r="Q11" s="209">
        <v>0.585</v>
      </c>
      <c r="R11" s="209">
        <v>0.875</v>
      </c>
      <c r="S11" s="88">
        <f t="shared" si="2"/>
        <v>16114.99804535739</v>
      </c>
      <c r="T11" s="317">
        <f t="shared" si="4"/>
        <v>40.216959664278065</v>
      </c>
      <c r="U11" s="317">
        <f>((E11+S11)*(Rates!$E$5/1000))/(2*J11)</f>
        <v>1.8345705010025877</v>
      </c>
      <c r="V11" s="424">
        <f>(E11*(Rates!$E$6/1000))/J11</f>
        <v>0</v>
      </c>
      <c r="W11" s="317">
        <f>((E11+S11)*(Rates!$E$4/100))/(2*J11)</f>
        <v>15.288087508354899</v>
      </c>
      <c r="X11" s="424">
        <f t="shared" si="3"/>
        <v>47.47270803968497</v>
      </c>
      <c r="Y11" s="318">
        <f>IF(F11="-","-",IF(I11="-",IF(F11=1,H11*Rates!$E$12*Rates!$E$7,IF(F11=2,H11*Rates!$E$13*Rates!$E$8,IF(F11=3,H11*Rates!$E$14*Rates!$E$9,"-"))),IF(F11=1,(E11/1000)*Rates!$E$12*Rates!$E$7,IF(F11=2,(E11/1000)*Rates!$E$13*Rates!$E$8,IF(F11=3,(E11/1000)*Rates!$E$14*Rates!$E$9,"-")))))</f>
        <v>13.786000405449716</v>
      </c>
      <c r="Z11" s="317">
        <f>IF(Y11="-","-",Y11*(Rates!$E$10/100))</f>
        <v>2.067900060817457</v>
      </c>
      <c r="AA11" s="317">
        <f t="shared" si="1"/>
        <v>1.2</v>
      </c>
      <c r="AB11" s="226"/>
      <c r="AC11" s="214"/>
      <c r="AD11" s="214"/>
      <c r="AE11" s="214"/>
    </row>
    <row r="12" spans="1:31" ht="15">
      <c r="A12" s="222">
        <v>6</v>
      </c>
      <c r="B12" s="405" t="s">
        <v>643</v>
      </c>
      <c r="C12" s="214">
        <v>228640.11974700028</v>
      </c>
      <c r="D12" s="214">
        <v>357000</v>
      </c>
      <c r="E12" s="64">
        <f t="shared" si="0"/>
        <v>292820.05987350014</v>
      </c>
      <c r="F12" s="315">
        <v>1</v>
      </c>
      <c r="G12" s="319" t="s">
        <v>43</v>
      </c>
      <c r="H12" s="315">
        <v>12</v>
      </c>
      <c r="I12" s="222">
        <v>3</v>
      </c>
      <c r="J12" s="320">
        <v>250</v>
      </c>
      <c r="K12" s="320">
        <v>12</v>
      </c>
      <c r="L12" s="269">
        <v>2500</v>
      </c>
      <c r="M12" s="209">
        <v>0.6</v>
      </c>
      <c r="N12" s="209">
        <v>0.75</v>
      </c>
      <c r="O12" s="209">
        <v>0.000251</v>
      </c>
      <c r="P12" s="209">
        <v>1.8</v>
      </c>
      <c r="Q12" s="209">
        <v>0.585</v>
      </c>
      <c r="R12" s="209">
        <v>0.875</v>
      </c>
      <c r="S12" s="88">
        <f t="shared" si="2"/>
        <v>34502.719499142135</v>
      </c>
      <c r="T12" s="317">
        <f t="shared" si="4"/>
        <v>86.105780124786</v>
      </c>
      <c r="U12" s="317">
        <f>((E12+S12)*(Rates!$E$5/1000))/(2*J12)</f>
        <v>3.9278733524717078</v>
      </c>
      <c r="V12" s="424">
        <f>(E12*(Rates!$E$6/1000))/J12</f>
        <v>0</v>
      </c>
      <c r="W12" s="317">
        <f>((E12+S12)*(Rates!$E$4/100))/(2*J12)</f>
        <v>32.73227793726423</v>
      </c>
      <c r="X12" s="424">
        <f t="shared" si="3"/>
        <v>101.64056643058655</v>
      </c>
      <c r="Y12" s="318">
        <f>IF(F12="-","-",IF(I12="-",IF(F12=1,H12*Rates!$E$12*Rates!$E$7,IF(F12=2,H12*Rates!$E$13*Rates!$E$8,IF(F12=3,H12*Rates!$E$14*Rates!$E$9,"-"))),IF(F12=1,(E12/1000)*Rates!$E$12*Rates!$E$7,IF(F12=2,(E12/1000)*Rates!$E$13*Rates!$E$8,IF(F12=3,(E12/1000)*Rates!$E$14*Rates!$E$9,"-")))))</f>
        <v>29.51626203524882</v>
      </c>
      <c r="Z12" s="317">
        <f>IF(Y12="-","-",Y12*(Rates!$E$10/100))</f>
        <v>4.427439305287322</v>
      </c>
      <c r="AA12" s="317">
        <f t="shared" si="1"/>
        <v>1.2</v>
      </c>
      <c r="AB12" s="226"/>
      <c r="AC12" s="214"/>
      <c r="AD12" s="214"/>
      <c r="AE12" s="214"/>
    </row>
    <row r="13" spans="1:31" ht="15">
      <c r="A13" s="222">
        <v>6.1</v>
      </c>
      <c r="B13" s="405" t="s">
        <v>644</v>
      </c>
      <c r="C13" s="214">
        <v>134334.32460609628</v>
      </c>
      <c r="D13" s="214">
        <v>119943.50286436692</v>
      </c>
      <c r="E13" s="64">
        <f>IF(C13=0,D13,IF(D13=0,C13,AVERAGE(C13,D13)))</f>
        <v>127138.9137352316</v>
      </c>
      <c r="F13" s="315">
        <v>1</v>
      </c>
      <c r="G13" s="319" t="s">
        <v>43</v>
      </c>
      <c r="H13" s="315">
        <v>12</v>
      </c>
      <c r="I13" s="222">
        <v>5</v>
      </c>
      <c r="J13" s="320">
        <v>250</v>
      </c>
      <c r="K13" s="320">
        <v>12</v>
      </c>
      <c r="L13" s="269">
        <v>2500</v>
      </c>
      <c r="M13" s="209">
        <v>0.6</v>
      </c>
      <c r="N13" s="209">
        <v>0.75</v>
      </c>
      <c r="O13" s="209">
        <v>0.000251</v>
      </c>
      <c r="P13" s="209">
        <v>1.8</v>
      </c>
      <c r="Q13" s="209">
        <v>0.585</v>
      </c>
      <c r="R13" s="209">
        <v>0.875</v>
      </c>
      <c r="S13" s="88">
        <f>E13*Q13*(R13^K13)</f>
        <v>14980.661775451372</v>
      </c>
      <c r="T13" s="317">
        <f>(E13-S13)/(J13*K13)</f>
        <v>37.38608398659341</v>
      </c>
      <c r="U13" s="317">
        <f>((E13+S13)*(Rates!$E$5/1000))/(2*J13)</f>
        <v>1.7054349061281957</v>
      </c>
      <c r="V13" s="424">
        <f>(E13*(Rates!$E$6/1000))/J13</f>
        <v>0</v>
      </c>
      <c r="W13" s="317">
        <f>((E13+S13)*(Rates!$E$4/100))/(2*J13)</f>
        <v>14.211957551068298</v>
      </c>
      <c r="X13" s="424">
        <f>((E13*N13)*(AA13^P13))/(J13*K13)</f>
        <v>44.131099532596906</v>
      </c>
      <c r="Y13" s="318">
        <f>IF(F13="-","-",IF(I13="-",IF(F13=1,H13*Rates!$E$12*Rates!$E$7,IF(F13=2,H13*Rates!$E$13*Rates!$E$8,IF(F13=3,H13*Rates!$E$14*Rates!$E$9,"-"))),IF(F13=1,(E13/1000)*Rates!$E$12*Rates!$E$7,IF(F13=2,(E13/1000)*Rates!$E$13*Rates!$E$8,IF(F13=3,(E13/1000)*Rates!$E$14*Rates!$E$9,"-")))))</f>
        <v>12.815602504511347</v>
      </c>
      <c r="Z13" s="317">
        <f>IF(Y13="-","-",Y13*(Rates!$E$10/100))</f>
        <v>1.922340375676702</v>
      </c>
      <c r="AA13" s="317">
        <f t="shared" si="1"/>
        <v>1.2</v>
      </c>
      <c r="AB13" s="226"/>
      <c r="AC13" s="214"/>
      <c r="AD13" s="214"/>
      <c r="AE13" s="214"/>
    </row>
    <row r="14" spans="1:31" ht="15">
      <c r="A14" s="222">
        <v>6.2</v>
      </c>
      <c r="B14" s="405" t="s">
        <v>961</v>
      </c>
      <c r="C14" s="214">
        <v>465000</v>
      </c>
      <c r="D14" s="214">
        <v>465000</v>
      </c>
      <c r="E14" s="64">
        <f>IF(C14=0,D14,IF(D14=0,C14,AVERAGE(C14,D14)))</f>
        <v>465000</v>
      </c>
      <c r="F14" s="315">
        <v>1</v>
      </c>
      <c r="G14" s="319" t="s">
        <v>43</v>
      </c>
      <c r="H14" s="315">
        <v>16</v>
      </c>
      <c r="I14" s="222">
        <v>3</v>
      </c>
      <c r="J14" s="320">
        <v>200</v>
      </c>
      <c r="K14" s="320">
        <v>12</v>
      </c>
      <c r="L14" s="269">
        <v>2500</v>
      </c>
      <c r="M14" s="209">
        <v>0.6</v>
      </c>
      <c r="N14" s="209">
        <v>0.75</v>
      </c>
      <c r="O14" s="209">
        <v>0.000251</v>
      </c>
      <c r="P14" s="209">
        <v>1.8</v>
      </c>
      <c r="Q14" s="209">
        <v>0.585</v>
      </c>
      <c r="R14" s="209">
        <v>0.875</v>
      </c>
      <c r="S14" s="88">
        <f>E14*Q14*(R14^K14)</f>
        <v>54790.52416706727</v>
      </c>
      <c r="T14" s="317">
        <f>(E14-S14)/(J14*K14)</f>
        <v>170.92061493038864</v>
      </c>
      <c r="U14" s="317">
        <f>((E14+S14)*(Rates!$E$5/1000))/(2*J14)</f>
        <v>7.796857862506009</v>
      </c>
      <c r="V14" s="424">
        <f>(E14*(Rates!$E$6/1000))/J14</f>
        <v>0</v>
      </c>
      <c r="W14" s="317">
        <f>((E14+S14)*(Rates!$E$4/100))/(2*J14)</f>
        <v>64.9738155208834</v>
      </c>
      <c r="X14" s="424">
        <f>((E14*N14)*(AA14^P14))/(J14*K14)</f>
        <v>135.01785185314054</v>
      </c>
      <c r="Y14" s="318">
        <f>IF(F14="-","-",IF(I14="-",IF(F14=1,H14*Rates!$E$12*Rates!$E$7,IF(F14=2,H14*Rates!$E$13*Rates!$E$8,IF(F14=3,H14*Rates!$E$14*Rates!$E$9,"-"))),IF(F14=1,(E14/1000)*Rates!$E$12*Rates!$E$7,IF(F14=2,(E14/1000)*Rates!$E$13*Rates!$E$8,IF(F14=3,(E14/1000)*Rates!$E$14*Rates!$E$9,"-")))))</f>
        <v>46.872</v>
      </c>
      <c r="Z14" s="317">
        <f>IF(Y14="-","-",Y14*(Rates!$E$10/100))</f>
        <v>7.0308</v>
      </c>
      <c r="AA14" s="317">
        <f t="shared" si="1"/>
        <v>0.96</v>
      </c>
      <c r="AB14" s="226"/>
      <c r="AC14" s="214"/>
      <c r="AD14" s="214"/>
      <c r="AE14" s="214"/>
    </row>
    <row r="15" spans="1:31" ht="15">
      <c r="A15" s="222">
        <v>6.3</v>
      </c>
      <c r="B15" s="405" t="s">
        <v>962</v>
      </c>
      <c r="C15" s="214">
        <v>744000</v>
      </c>
      <c r="D15" s="214">
        <v>744000</v>
      </c>
      <c r="E15" s="64">
        <f>IF(C15=0,D15,IF(D15=0,C15,AVERAGE(C15,D15)))</f>
        <v>744000</v>
      </c>
      <c r="F15" s="315">
        <v>1</v>
      </c>
      <c r="G15" s="319" t="s">
        <v>43</v>
      </c>
      <c r="H15" s="315">
        <v>16</v>
      </c>
      <c r="I15" s="222">
        <v>3</v>
      </c>
      <c r="J15" s="320">
        <v>200</v>
      </c>
      <c r="K15" s="320">
        <v>12</v>
      </c>
      <c r="L15" s="269">
        <v>2500</v>
      </c>
      <c r="M15" s="209">
        <v>0.6</v>
      </c>
      <c r="N15" s="209">
        <v>0.75</v>
      </c>
      <c r="O15" s="209">
        <v>0.000251</v>
      </c>
      <c r="P15" s="209">
        <v>1.8</v>
      </c>
      <c r="Q15" s="209">
        <v>0.585</v>
      </c>
      <c r="R15" s="209">
        <v>0.875</v>
      </c>
      <c r="S15" s="88">
        <f>E15*Q15*(R15^K15)</f>
        <v>87664.83866730763</v>
      </c>
      <c r="T15" s="317">
        <f>(E15-S15)/(J15*K15)</f>
        <v>273.4729838886218</v>
      </c>
      <c r="U15" s="317">
        <f>((E15+S15)*(Rates!$E$5/1000))/(2*J15)</f>
        <v>12.474972580009615</v>
      </c>
      <c r="V15" s="424">
        <f>(E15*(Rates!$E$6/1000))/J15</f>
        <v>0</v>
      </c>
      <c r="W15" s="317">
        <f>((E15+S15)*(Rates!$E$4/100))/(2*J15)</f>
        <v>103.95810483341346</v>
      </c>
      <c r="X15" s="424">
        <f>((E15*N15)*(AA15^P15))/(J15*K15)</f>
        <v>216.02856296502486</v>
      </c>
      <c r="Y15" s="318">
        <f>IF(F15="-","-",IF(I15="-",IF(F15=1,H15*Rates!$E$12*Rates!$E$7,IF(F15=2,H15*Rates!$E$13*Rates!$E$8,IF(F15=3,H15*Rates!$E$14*Rates!$E$9,"-"))),IF(F15=1,(E15/1000)*Rates!$E$12*Rates!$E$7,IF(F15=2,(E15/1000)*Rates!$E$13*Rates!$E$8,IF(F15=3,(E15/1000)*Rates!$E$14*Rates!$E$9,"-")))))</f>
        <v>74.99520000000001</v>
      </c>
      <c r="Z15" s="317">
        <f>IF(Y15="-","-",Y15*(Rates!$E$10/100))</f>
        <v>11.24928</v>
      </c>
      <c r="AA15" s="317">
        <f t="shared" si="1"/>
        <v>0.96</v>
      </c>
      <c r="AB15" s="226"/>
      <c r="AC15" s="214"/>
      <c r="AD15" s="214"/>
      <c r="AE15" s="214"/>
    </row>
    <row r="16" spans="1:31" ht="15">
      <c r="A16" s="222">
        <v>6.4</v>
      </c>
      <c r="B16" s="405" t="s">
        <v>963</v>
      </c>
      <c r="C16" s="214">
        <v>294000</v>
      </c>
      <c r="D16" s="214">
        <v>294000</v>
      </c>
      <c r="E16" s="64">
        <f>IF(C16=0,D16,IF(D16=0,C16,AVERAGE(C16,D16)))</f>
        <v>294000</v>
      </c>
      <c r="F16" s="315">
        <v>1</v>
      </c>
      <c r="G16" s="319" t="s">
        <v>43</v>
      </c>
      <c r="H16" s="315">
        <v>90</v>
      </c>
      <c r="I16" s="222">
        <v>12</v>
      </c>
      <c r="J16" s="320">
        <v>350</v>
      </c>
      <c r="K16" s="320">
        <v>10</v>
      </c>
      <c r="L16" s="269">
        <v>4000</v>
      </c>
      <c r="M16" s="209">
        <v>0.6</v>
      </c>
      <c r="N16" s="209">
        <v>0.75</v>
      </c>
      <c r="O16" s="209">
        <v>0.000251</v>
      </c>
      <c r="P16" s="209">
        <v>1.8</v>
      </c>
      <c r="Q16" s="209">
        <v>0.585</v>
      </c>
      <c r="R16" s="209">
        <v>0.875</v>
      </c>
      <c r="S16" s="88">
        <f>E16*Q16*(R16^K16)</f>
        <v>45246.36834441684</v>
      </c>
      <c r="T16" s="317">
        <f>(E16-S16)/(J16*K16)</f>
        <v>71.07246618730947</v>
      </c>
      <c r="U16" s="317">
        <f>((E16+S16)*(Rates!$E$5/1000))/(2*J16)</f>
        <v>2.9078260143807158</v>
      </c>
      <c r="V16" s="424"/>
      <c r="W16" s="317">
        <f>((E16+S16)*(Rates!$E$4/100))/(2*J16)</f>
        <v>24.23188345317263</v>
      </c>
      <c r="X16" s="424">
        <f>((E16*N16)*(AA16^P16))/(J16*K16)</f>
        <v>49.53989079445044</v>
      </c>
      <c r="Y16" s="318">
        <f>IF(F16="-","-",IF(I16="-",IF(F16=1,H16*Rates!$E$12*Rates!$E$7,IF(F16=2,H16*Rates!$E$13*Rates!$E$8,IF(F16=3,H16*Rates!$E$14*Rates!$E$9,"-"))),IF(F16=1,(E16/1000)*Rates!$E$12*Rates!$E$7,IF(F16=2,(E16/1000)*Rates!$E$13*Rates!$E$8,IF(F16=3,(E16/1000)*Rates!$E$14*Rates!$E$9,"-")))))</f>
        <v>29.6352</v>
      </c>
      <c r="Z16" s="317">
        <f>IF(Y16="-","-",Y16*(Rates!$E$10/100))</f>
        <v>4.44528</v>
      </c>
      <c r="AA16" s="317">
        <f t="shared" si="1"/>
        <v>0.875</v>
      </c>
      <c r="AB16" s="226"/>
      <c r="AC16" s="214"/>
      <c r="AD16" s="214"/>
      <c r="AE16" s="214"/>
    </row>
    <row r="17" spans="1:31" ht="15">
      <c r="A17" s="222">
        <v>7</v>
      </c>
      <c r="B17" s="405" t="s">
        <v>645</v>
      </c>
      <c r="C17" s="214">
        <v>15000</v>
      </c>
      <c r="D17" s="214">
        <v>30000</v>
      </c>
      <c r="E17" s="64">
        <f t="shared" si="0"/>
        <v>22500</v>
      </c>
      <c r="F17" s="315">
        <v>1</v>
      </c>
      <c r="G17" s="315" t="s">
        <v>43</v>
      </c>
      <c r="H17" s="315">
        <v>36</v>
      </c>
      <c r="I17" s="222">
        <v>4.5</v>
      </c>
      <c r="J17" s="316">
        <v>150</v>
      </c>
      <c r="K17" s="316">
        <v>12</v>
      </c>
      <c r="L17" s="269">
        <v>2000</v>
      </c>
      <c r="M17" s="209">
        <v>0.8</v>
      </c>
      <c r="N17" s="209">
        <v>0.65</v>
      </c>
      <c r="O17" s="209">
        <v>0.000251</v>
      </c>
      <c r="P17" s="209">
        <v>1.8</v>
      </c>
      <c r="Q17" s="209">
        <v>0.6</v>
      </c>
      <c r="R17" s="209">
        <v>0.885</v>
      </c>
      <c r="S17" s="88">
        <f t="shared" si="2"/>
        <v>3116.398716913961</v>
      </c>
      <c r="T17" s="317">
        <f t="shared" si="4"/>
        <v>10.768667379492243</v>
      </c>
      <c r="U17" s="317">
        <f>((E17+S17)*(Rates!$E$5/1000))/(2*J17)</f>
        <v>0.5123279743382793</v>
      </c>
      <c r="V17" s="424">
        <f>(E17*(Rates!$E$6/1000))/J17</f>
        <v>0</v>
      </c>
      <c r="W17" s="317">
        <f>((E17+S17)*(Rates!$E$4/100))/(2*J17)</f>
        <v>4.269399786152327</v>
      </c>
      <c r="X17" s="424">
        <f t="shared" si="3"/>
        <v>6.721402244018389</v>
      </c>
      <c r="Y17" s="318">
        <f>IF(F17="-","-",IF(I17="-",IF(F17=1,H17*Rates!$E$12*Rates!$E$7,IF(F17=2,H17*Rates!$E$13*Rates!$E$8,IF(F17=3,H17*Rates!$E$14*Rates!$E$9,"-"))),IF(F17=1,(E17/1000)*Rates!$E$12*Rates!$E$7,IF(F17=2,(E17/1000)*Rates!$E$13*Rates!$E$8,IF(F17=3,(E17/1000)*Rates!$E$14*Rates!$E$9,"-")))))</f>
        <v>2.2680000000000002</v>
      </c>
      <c r="Z17" s="317">
        <f>IF(Y17="-","-",Y17*(Rates!$E$10/100))</f>
        <v>0.3402</v>
      </c>
      <c r="AA17" s="317">
        <f t="shared" si="1"/>
        <v>0.9</v>
      </c>
      <c r="AB17" s="226"/>
      <c r="AC17" s="214"/>
      <c r="AD17" s="214"/>
      <c r="AE17" s="214"/>
    </row>
    <row r="18" spans="1:31" ht="15">
      <c r="A18" s="222">
        <v>8</v>
      </c>
      <c r="B18" s="405" t="s">
        <v>646</v>
      </c>
      <c r="C18" s="214">
        <v>67409.9301148647</v>
      </c>
      <c r="D18" s="214">
        <v>65634.19219520625</v>
      </c>
      <c r="E18" s="64">
        <f t="shared" si="0"/>
        <v>66522.06115503548</v>
      </c>
      <c r="F18" s="315">
        <v>1</v>
      </c>
      <c r="G18" s="315" t="s">
        <v>43</v>
      </c>
      <c r="H18" s="315">
        <v>4</v>
      </c>
      <c r="I18" s="222">
        <v>2.2</v>
      </c>
      <c r="J18" s="316">
        <v>260</v>
      </c>
      <c r="K18" s="316">
        <v>7</v>
      </c>
      <c r="L18" s="269">
        <v>2000</v>
      </c>
      <c r="M18" s="209">
        <v>0.6</v>
      </c>
      <c r="N18" s="209">
        <v>0.33</v>
      </c>
      <c r="O18" s="209">
        <v>0.000251</v>
      </c>
      <c r="P18" s="209">
        <v>1.8</v>
      </c>
      <c r="Q18" s="209">
        <v>0.635</v>
      </c>
      <c r="R18" s="209">
        <v>0.895</v>
      </c>
      <c r="S18" s="88">
        <f t="shared" si="2"/>
        <v>19431.246880759212</v>
      </c>
      <c r="T18" s="317">
        <f t="shared" si="4"/>
        <v>25.874073777074873</v>
      </c>
      <c r="U18" s="317">
        <f>((E18+S18)*(Rates!$E$5/1000))/(2*J18)</f>
        <v>0.9917689388745541</v>
      </c>
      <c r="V18" s="424">
        <f>(E18*(Rates!$E$6/1000))/J18</f>
        <v>0</v>
      </c>
      <c r="W18" s="317">
        <f>((E18+S18)*(Rates!$E$4/100))/(2*J18)</f>
        <v>8.26474115728795</v>
      </c>
      <c r="X18" s="424">
        <f t="shared" si="3"/>
        <v>10.178475959986935</v>
      </c>
      <c r="Y18" s="318">
        <f>IF(F18="-","-",IF(I18="-",IF(F18=1,H18*Rates!$E$12*Rates!$E$7,IF(F18=2,H18*Rates!$E$13*Rates!$E$8,IF(F18=3,H18*Rates!$E$14*Rates!$E$9,"-"))),IF(F18=1,(E18/1000)*Rates!$E$12*Rates!$E$7,IF(F18=2,(E18/1000)*Rates!$E$13*Rates!$E$8,IF(F18=3,(E18/1000)*Rates!$E$14*Rates!$E$9,"-")))))</f>
        <v>6.705423764427578</v>
      </c>
      <c r="Z18" s="317">
        <f>IF(Y18="-","-",Y18*(Rates!$E$10/100))</f>
        <v>1.0058135646641366</v>
      </c>
      <c r="AA18" s="317">
        <f t="shared" si="1"/>
        <v>0.91</v>
      </c>
      <c r="AB18" s="226"/>
      <c r="AC18" s="214"/>
      <c r="AD18" s="214"/>
      <c r="AE18" s="214"/>
    </row>
    <row r="19" spans="1:31" ht="15">
      <c r="A19" s="222">
        <v>9</v>
      </c>
      <c r="B19" s="405" t="s">
        <v>647</v>
      </c>
      <c r="C19" s="214">
        <v>91922.63197481551</v>
      </c>
      <c r="D19" s="214">
        <v>89501.17117528126</v>
      </c>
      <c r="E19" s="64">
        <f t="shared" si="0"/>
        <v>90711.90157504838</v>
      </c>
      <c r="F19" s="315">
        <v>1</v>
      </c>
      <c r="G19" s="319" t="s">
        <v>43</v>
      </c>
      <c r="H19" s="315">
        <v>6</v>
      </c>
      <c r="I19" s="222">
        <v>2.2</v>
      </c>
      <c r="J19" s="320">
        <v>260</v>
      </c>
      <c r="K19" s="320">
        <v>7</v>
      </c>
      <c r="L19" s="269">
        <v>2000</v>
      </c>
      <c r="M19" s="209">
        <v>0.6</v>
      </c>
      <c r="N19" s="209">
        <v>0.33</v>
      </c>
      <c r="O19" s="209">
        <v>0.000251</v>
      </c>
      <c r="P19" s="209">
        <v>1.8</v>
      </c>
      <c r="Q19" s="209">
        <v>0.635</v>
      </c>
      <c r="R19" s="209">
        <v>0.895</v>
      </c>
      <c r="S19" s="88">
        <f t="shared" si="2"/>
        <v>26497.154837398928</v>
      </c>
      <c r="T19" s="317">
        <f t="shared" si="4"/>
        <v>35.28282787782937</v>
      </c>
      <c r="U19" s="317">
        <f>((E19+S19)*(Rates!$E$5/1000))/(2*J19)</f>
        <v>1.352412189374392</v>
      </c>
      <c r="V19" s="424">
        <f>(E19*(Rates!$E$6/1000))/J19</f>
        <v>0</v>
      </c>
      <c r="W19" s="317">
        <f>((E19+S19)*(Rates!$E$4/100))/(2*J19)</f>
        <v>11.270101578119935</v>
      </c>
      <c r="X19" s="424">
        <f t="shared" si="3"/>
        <v>13.879739945436727</v>
      </c>
      <c r="Y19" s="318">
        <f>IF(F19="-","-",IF(I19="-",IF(F19=1,H19*Rates!$E$12*Rates!$E$7,IF(F19=2,H19*Rates!$E$13*Rates!$E$8,IF(F19=3,H19*Rates!$E$14*Rates!$E$9,"-"))),IF(F19=1,(E19/1000)*Rates!$E$12*Rates!$E$7,IF(F19=2,(E19/1000)*Rates!$E$13*Rates!$E$8,IF(F19=3,(E19/1000)*Rates!$E$14*Rates!$E$9,"-")))))</f>
        <v>9.143759678764876</v>
      </c>
      <c r="Z19" s="317">
        <f>IF(Y19="-","-",Y19*(Rates!$E$10/100))</f>
        <v>1.3715639518147313</v>
      </c>
      <c r="AA19" s="317">
        <f t="shared" si="1"/>
        <v>0.91</v>
      </c>
      <c r="AB19" s="226"/>
      <c r="AC19" s="214"/>
      <c r="AD19" s="214"/>
      <c r="AE19" s="214"/>
    </row>
    <row r="20" spans="1:31" ht="15">
      <c r="A20" s="222">
        <v>10</v>
      </c>
      <c r="B20" s="405" t="s">
        <v>648</v>
      </c>
      <c r="C20" s="214">
        <v>23189.105458198006</v>
      </c>
      <c r="D20" s="214">
        <v>21539.94852951769</v>
      </c>
      <c r="E20" s="64">
        <f t="shared" si="0"/>
        <v>22364.52699385785</v>
      </c>
      <c r="F20" s="315">
        <v>1</v>
      </c>
      <c r="G20" s="315" t="s">
        <v>43</v>
      </c>
      <c r="H20" s="315">
        <v>55</v>
      </c>
      <c r="I20" s="222" t="s">
        <v>43</v>
      </c>
      <c r="J20" s="316">
        <v>500</v>
      </c>
      <c r="K20" s="316">
        <v>10</v>
      </c>
      <c r="L20" s="269">
        <v>12000</v>
      </c>
      <c r="M20" s="209">
        <v>0.88</v>
      </c>
      <c r="N20" s="209">
        <v>1.2</v>
      </c>
      <c r="O20" s="209">
        <v>0.000631</v>
      </c>
      <c r="P20" s="209">
        <v>2</v>
      </c>
      <c r="Q20" s="209">
        <v>0.68</v>
      </c>
      <c r="R20" s="209">
        <v>0.92</v>
      </c>
      <c r="S20" s="88">
        <f t="shared" si="2"/>
        <v>6606.126771007135</v>
      </c>
      <c r="T20" s="317">
        <f t="shared" si="4"/>
        <v>3.151680044570143</v>
      </c>
      <c r="U20" s="317">
        <f>((E20+S20)*(Rates!$E$5/1000))/(2*J20)</f>
        <v>0.17382392258918988</v>
      </c>
      <c r="V20" s="424">
        <f>(E20*(Rates!$E$6/1000))/J20</f>
        <v>0</v>
      </c>
      <c r="W20" s="317">
        <f>((E20+S20)*(Rates!$E$4/100))/(2*J20)</f>
        <v>1.4485326882432492</v>
      </c>
      <c r="X20" s="424">
        <f t="shared" si="3"/>
        <v>0.9318552914107439</v>
      </c>
      <c r="Y20" s="318">
        <f>IF(F20="-","-",IF(I20="-",IF(F20=1,H20*Rates!$E$12*Rates!$E$7,IF(F20=2,H20*Rates!$E$13*Rates!$E$8,IF(F20=3,H20*Rates!$E$14*Rates!$E$9,"-"))),IF(F20=1,(E20/1000)*Rates!$E$12*Rates!$E$7,IF(F20=2,(E20/1000)*Rates!$E$13*Rates!$E$8,IF(F20=3,(E20/1000)*Rates!$E$14*Rates!$E$9,"-")))))</f>
        <v>5.5440000000000005</v>
      </c>
      <c r="Z20" s="317">
        <f>IF(Y20="-","-",Y20*(Rates!$E$10/100))</f>
        <v>0.8316</v>
      </c>
      <c r="AA20" s="317">
        <f t="shared" si="1"/>
        <v>0.4166666666666667</v>
      </c>
      <c r="AB20" s="226"/>
      <c r="AC20" s="214"/>
      <c r="AD20" s="214"/>
      <c r="AE20" s="214"/>
    </row>
    <row r="21" spans="1:31" ht="15">
      <c r="A21" s="222">
        <v>11</v>
      </c>
      <c r="B21" s="405" t="s">
        <v>649</v>
      </c>
      <c r="C21" s="214">
        <v>29951.07742740673</v>
      </c>
      <c r="D21" s="214">
        <v>28908.878289615845</v>
      </c>
      <c r="E21" s="64">
        <f t="shared" si="0"/>
        <v>29429.977858511287</v>
      </c>
      <c r="F21" s="315">
        <v>1</v>
      </c>
      <c r="G21" s="315" t="s">
        <v>43</v>
      </c>
      <c r="H21" s="315">
        <v>75</v>
      </c>
      <c r="I21" s="222" t="s">
        <v>43</v>
      </c>
      <c r="J21" s="316">
        <v>500</v>
      </c>
      <c r="K21" s="316">
        <v>10</v>
      </c>
      <c r="L21" s="269">
        <v>12000</v>
      </c>
      <c r="M21" s="209">
        <v>0.88</v>
      </c>
      <c r="N21" s="209">
        <v>1.2</v>
      </c>
      <c r="O21" s="209">
        <v>0.000631</v>
      </c>
      <c r="P21" s="209">
        <v>1.6</v>
      </c>
      <c r="Q21" s="209">
        <v>0.68</v>
      </c>
      <c r="R21" s="209">
        <v>0.92</v>
      </c>
      <c r="S21" s="88">
        <f t="shared" si="2"/>
        <v>8693.148961060222</v>
      </c>
      <c r="T21" s="317">
        <f t="shared" si="4"/>
        <v>4.1473657794902135</v>
      </c>
      <c r="U21" s="317">
        <f>((E21+S21)*(Rates!$E$5/1000))/(2*J21)</f>
        <v>0.22873876091742906</v>
      </c>
      <c r="V21" s="424">
        <f>(E21*(Rates!$E$6/1000))/J21</f>
        <v>0</v>
      </c>
      <c r="W21" s="317">
        <f>((E21+S21)*(Rates!$E$4/100))/(2*J21)</f>
        <v>1.9061563409785756</v>
      </c>
      <c r="X21" s="424">
        <f t="shared" si="3"/>
        <v>1.740456568496841</v>
      </c>
      <c r="Y21" s="318">
        <f>IF(F21="-","-",IF(I21="-",IF(F21=1,H21*Rates!$E$12*Rates!$E$7,IF(F21=2,H21*Rates!$E$13*Rates!$E$8,IF(F21=3,H21*Rates!$E$14*Rates!$E$9,"-"))),IF(F21=1,(E21/1000)*Rates!$E$12*Rates!$E$7,IF(F21=2,(E21/1000)*Rates!$E$13*Rates!$E$8,IF(F21=3,(E21/1000)*Rates!$E$14*Rates!$E$9,"-")))))</f>
        <v>7.5600000000000005</v>
      </c>
      <c r="Z21" s="317">
        <f>IF(Y21="-","-",Y21*(Rates!$E$10/100))</f>
        <v>1.1340000000000001</v>
      </c>
      <c r="AA21" s="317">
        <f t="shared" si="1"/>
        <v>0.4166666666666667</v>
      </c>
      <c r="AB21" s="226"/>
      <c r="AC21" s="214"/>
      <c r="AD21" s="214"/>
      <c r="AE21" s="214"/>
    </row>
    <row r="22" spans="1:31" ht="15">
      <c r="A22" s="222">
        <v>12</v>
      </c>
      <c r="B22" s="223" t="s">
        <v>650</v>
      </c>
      <c r="C22" s="214">
        <v>52412.59326690737</v>
      </c>
      <c r="D22" s="214">
        <v>56684.07507767812</v>
      </c>
      <c r="E22" s="64">
        <f t="shared" si="0"/>
        <v>54548.33417229274</v>
      </c>
      <c r="F22" s="315">
        <v>1</v>
      </c>
      <c r="G22" s="315" t="s">
        <v>43</v>
      </c>
      <c r="H22" s="315">
        <v>100</v>
      </c>
      <c r="I22" s="222" t="s">
        <v>43</v>
      </c>
      <c r="J22" s="316">
        <v>600</v>
      </c>
      <c r="K22" s="316">
        <v>10</v>
      </c>
      <c r="L22" s="269">
        <v>12000</v>
      </c>
      <c r="M22" s="209">
        <v>0.88</v>
      </c>
      <c r="N22" s="209">
        <v>1.2</v>
      </c>
      <c r="O22" s="209">
        <v>0.000631</v>
      </c>
      <c r="P22" s="209">
        <v>1.6</v>
      </c>
      <c r="Q22" s="209">
        <v>0.68</v>
      </c>
      <c r="R22" s="209">
        <v>0.92</v>
      </c>
      <c r="S22" s="88">
        <f t="shared" si="2"/>
        <v>16112.713261871942</v>
      </c>
      <c r="T22" s="317">
        <f t="shared" si="4"/>
        <v>6.405936818403467</v>
      </c>
      <c r="U22" s="317">
        <f>((E22+S22)*(Rates!$E$5/1000))/(2*J22)</f>
        <v>0.35330523717082346</v>
      </c>
      <c r="V22" s="424">
        <f>(E22*(Rates!$E$6/1000))/J22</f>
        <v>0</v>
      </c>
      <c r="W22" s="317">
        <f>((E22+S22)*(Rates!$E$4/100))/(2*J22)</f>
        <v>2.9442103097568624</v>
      </c>
      <c r="X22" s="424">
        <f t="shared" si="3"/>
        <v>3.598847922991184</v>
      </c>
      <c r="Y22" s="318">
        <f>IF(F22="-","-",IF(I22="-",IF(F22=1,H22*Rates!$E$12*Rates!$E$7,IF(F22=2,H22*Rates!$E$13*Rates!$E$8,IF(F22=3,H22*Rates!$E$14*Rates!$E$9,"-"))),IF(F22=1,(E22/1000)*Rates!$E$12*Rates!$E$7,IF(F22=2,(E22/1000)*Rates!$E$13*Rates!$E$8,IF(F22=3,(E22/1000)*Rates!$E$14*Rates!$E$9,"-")))))</f>
        <v>10.08</v>
      </c>
      <c r="Z22" s="317">
        <f>IF(Y22="-","-",Y22*(Rates!$E$10/100))</f>
        <v>1.512</v>
      </c>
      <c r="AA22" s="317">
        <f t="shared" si="1"/>
        <v>0.5</v>
      </c>
      <c r="AB22" s="226"/>
      <c r="AC22" s="214"/>
      <c r="AD22" s="214"/>
      <c r="AE22" s="214"/>
    </row>
    <row r="23" spans="1:31" ht="15">
      <c r="A23" s="222">
        <v>13</v>
      </c>
      <c r="B23" s="223" t="s">
        <v>651</v>
      </c>
      <c r="C23" s="214">
        <v>64623.27958242157</v>
      </c>
      <c r="D23" s="214">
        <v>63486.16408699952</v>
      </c>
      <c r="E23" s="64">
        <f t="shared" si="0"/>
        <v>64054.721834710544</v>
      </c>
      <c r="F23" s="315">
        <v>1</v>
      </c>
      <c r="G23" s="315" t="s">
        <v>43</v>
      </c>
      <c r="H23" s="315">
        <v>120</v>
      </c>
      <c r="I23" s="222" t="s">
        <v>43</v>
      </c>
      <c r="J23" s="316">
        <v>600</v>
      </c>
      <c r="K23" s="316">
        <v>10</v>
      </c>
      <c r="L23" s="269">
        <v>12000</v>
      </c>
      <c r="M23" s="209">
        <v>0.88</v>
      </c>
      <c r="N23" s="209">
        <v>1.2</v>
      </c>
      <c r="O23" s="209">
        <v>0.000631</v>
      </c>
      <c r="P23" s="209">
        <v>1.6</v>
      </c>
      <c r="Q23" s="209">
        <v>0.68</v>
      </c>
      <c r="R23" s="209">
        <v>0.92</v>
      </c>
      <c r="S23" s="88">
        <f t="shared" si="2"/>
        <v>18920.749490383172</v>
      </c>
      <c r="T23" s="317">
        <f t="shared" si="4"/>
        <v>7.522328724054561</v>
      </c>
      <c r="U23" s="317">
        <f>((E23+S23)*(Rates!$E$5/1000))/(2*J23)</f>
        <v>0.41487735662546865</v>
      </c>
      <c r="V23" s="424">
        <f>(E23*(Rates!$E$6/1000))/J23</f>
        <v>0</v>
      </c>
      <c r="W23" s="317">
        <f>((E23+S23)*(Rates!$E$4/100))/(2*J23)</f>
        <v>3.457311305212239</v>
      </c>
      <c r="X23" s="424">
        <f t="shared" si="3"/>
        <v>4.22603560916289</v>
      </c>
      <c r="Y23" s="318">
        <f>IF(F23="-","-",IF(I23="-",IF(F23=1,H23*Rates!$E$12*Rates!$E$7,IF(F23=2,H23*Rates!$E$13*Rates!$E$8,IF(F23=3,H23*Rates!$E$14*Rates!$E$9,"-"))),IF(F23=1,(E23/1000)*Rates!$E$12*Rates!$E$7,IF(F23=2,(E23/1000)*Rates!$E$13*Rates!$E$8,IF(F23=3,(E23/1000)*Rates!$E$14*Rates!$E$9,"-")))))</f>
        <v>12.096</v>
      </c>
      <c r="Z23" s="317">
        <f>IF(Y23="-","-",Y23*(Rates!$E$10/100))</f>
        <v>1.8144</v>
      </c>
      <c r="AA23" s="317">
        <f t="shared" si="1"/>
        <v>0.5</v>
      </c>
      <c r="AB23" s="226"/>
      <c r="AC23" s="214"/>
      <c r="AD23" s="214"/>
      <c r="AE23" s="214"/>
    </row>
    <row r="24" spans="1:31" ht="15">
      <c r="A24" s="222">
        <v>14</v>
      </c>
      <c r="B24" s="405" t="s">
        <v>652</v>
      </c>
      <c r="C24" s="214">
        <v>75478.6209019431</v>
      </c>
      <c r="D24" s="214">
        <v>73292.50907543783</v>
      </c>
      <c r="E24" s="64">
        <f t="shared" si="0"/>
        <v>74385.56498869046</v>
      </c>
      <c r="F24" s="315">
        <v>1</v>
      </c>
      <c r="G24" s="315" t="s">
        <v>43</v>
      </c>
      <c r="H24" s="315">
        <v>140</v>
      </c>
      <c r="I24" s="222" t="s">
        <v>43</v>
      </c>
      <c r="J24" s="316">
        <v>600</v>
      </c>
      <c r="K24" s="316">
        <v>10</v>
      </c>
      <c r="L24" s="269">
        <v>12000</v>
      </c>
      <c r="M24" s="209">
        <v>0.88</v>
      </c>
      <c r="N24" s="209">
        <v>1.2</v>
      </c>
      <c r="O24" s="209">
        <v>0.000631</v>
      </c>
      <c r="P24" s="209">
        <v>1.6</v>
      </c>
      <c r="Q24" s="209">
        <v>0.68</v>
      </c>
      <c r="R24" s="209">
        <v>0.92</v>
      </c>
      <c r="S24" s="88">
        <f t="shared" si="2"/>
        <v>21972.316802552377</v>
      </c>
      <c r="T24" s="317">
        <f t="shared" si="4"/>
        <v>8.735541364356347</v>
      </c>
      <c r="U24" s="317">
        <f>((E24+S24)*(Rates!$E$5/1000))/(2*J24)</f>
        <v>0.48178940895621425</v>
      </c>
      <c r="V24" s="424">
        <f>(E24*(Rates!$E$6/1000))/J24</f>
        <v>0</v>
      </c>
      <c r="W24" s="317">
        <f>((E24+S24)*(Rates!$E$4/100))/(2*J24)</f>
        <v>4.014911741301785</v>
      </c>
      <c r="X24" s="424">
        <f t="shared" si="3"/>
        <v>4.907617072494416</v>
      </c>
      <c r="Y24" s="318">
        <f>IF(F24="-","-",IF(I24="-",IF(F24=1,H24*Rates!$E$12*Rates!$E$7,IF(F24=2,H24*Rates!$E$13*Rates!$E$8,IF(F24=3,H24*Rates!$E$14*Rates!$E$9,"-"))),IF(F24=1,(E24/1000)*Rates!$E$12*Rates!$E$7,IF(F24=2,(E24/1000)*Rates!$E$13*Rates!$E$8,IF(F24=3,(E24/1000)*Rates!$E$14*Rates!$E$9,"-")))))</f>
        <v>14.112</v>
      </c>
      <c r="Z24" s="317">
        <f>IF(Y24="-","-",Y24*(Rates!$E$10/100))</f>
        <v>2.1168</v>
      </c>
      <c r="AA24" s="317">
        <f t="shared" si="1"/>
        <v>0.5</v>
      </c>
      <c r="AB24" s="226"/>
      <c r="AC24" s="214"/>
      <c r="AD24" s="214"/>
      <c r="AE24" s="214"/>
    </row>
    <row r="25" spans="1:31" ht="15">
      <c r="A25" s="222">
        <v>15</v>
      </c>
      <c r="B25" s="223" t="s">
        <v>653</v>
      </c>
      <c r="C25" s="214">
        <v>88729.82760392498</v>
      </c>
      <c r="D25" s="214">
        <v>93387.01369047472</v>
      </c>
      <c r="E25" s="64">
        <f t="shared" si="0"/>
        <v>91058.42064719985</v>
      </c>
      <c r="F25" s="321">
        <v>1</v>
      </c>
      <c r="G25" s="315" t="s">
        <v>43</v>
      </c>
      <c r="H25" s="321">
        <v>160</v>
      </c>
      <c r="I25" s="222" t="s">
        <v>43</v>
      </c>
      <c r="J25" s="316">
        <v>600</v>
      </c>
      <c r="K25" s="316">
        <v>10</v>
      </c>
      <c r="L25" s="269">
        <v>12000</v>
      </c>
      <c r="M25" s="209">
        <v>0.88</v>
      </c>
      <c r="N25" s="209">
        <v>1.2</v>
      </c>
      <c r="O25" s="209">
        <v>0.000631</v>
      </c>
      <c r="P25" s="209">
        <v>1.6</v>
      </c>
      <c r="Q25" s="209">
        <v>0.68</v>
      </c>
      <c r="R25" s="209">
        <v>0.92</v>
      </c>
      <c r="S25" s="88">
        <f t="shared" si="2"/>
        <v>26897.214080508053</v>
      </c>
      <c r="T25" s="317">
        <f t="shared" si="4"/>
        <v>10.693534427781966</v>
      </c>
      <c r="U25" s="317">
        <f>((E25+S25)*(Rates!$E$5/1000))/(2*J25)</f>
        <v>0.5897781736385396</v>
      </c>
      <c r="V25" s="424">
        <f>(E25*(Rates!$E$6/1000))/J25</f>
        <v>0</v>
      </c>
      <c r="W25" s="317">
        <f>((E25+S25)*(Rates!$E$4/100))/(2*J25)</f>
        <v>4.914818113654496</v>
      </c>
      <c r="X25" s="424">
        <f t="shared" si="3"/>
        <v>6.007615319323302</v>
      </c>
      <c r="Y25" s="318">
        <f>IF(F25="-","-",IF(I25="-",IF(F25=1,H25*Rates!$E$12*Rates!$E$7,IF(F25=2,H25*Rates!$E$13*Rates!$E$8,IF(F25=3,H25*Rates!$E$14*Rates!$E$9,"-"))),IF(F25=1,(E25/1000)*Rates!$E$12*Rates!$E$7,IF(F25=2,(E25/1000)*Rates!$E$13*Rates!$E$8,IF(F25=3,(E25/1000)*Rates!$E$14*Rates!$E$9,"-")))))</f>
        <v>16.128</v>
      </c>
      <c r="Z25" s="317">
        <f>IF(Y25="-","-",Y25*(Rates!$E$10/100))</f>
        <v>2.4192</v>
      </c>
      <c r="AA25" s="317">
        <f t="shared" si="1"/>
        <v>0.5</v>
      </c>
      <c r="AB25" s="226"/>
      <c r="AC25" s="214"/>
      <c r="AD25" s="214"/>
      <c r="AE25" s="214"/>
    </row>
    <row r="26" spans="1:31" ht="15">
      <c r="A26" s="222">
        <v>16</v>
      </c>
      <c r="B26" s="405" t="s">
        <v>654</v>
      </c>
      <c r="C26" s="214">
        <v>112339.89936330538</v>
      </c>
      <c r="D26" s="214">
        <v>115748.88130861874</v>
      </c>
      <c r="E26" s="64">
        <f t="shared" si="0"/>
        <v>114044.39033596206</v>
      </c>
      <c r="F26" s="315">
        <v>1</v>
      </c>
      <c r="G26" s="319" t="s">
        <v>43</v>
      </c>
      <c r="H26" s="315">
        <v>180</v>
      </c>
      <c r="I26" s="322" t="s">
        <v>43</v>
      </c>
      <c r="J26" s="323">
        <v>600</v>
      </c>
      <c r="K26" s="323">
        <v>10</v>
      </c>
      <c r="L26" s="269">
        <v>12000</v>
      </c>
      <c r="M26" s="209">
        <v>0.88</v>
      </c>
      <c r="N26" s="209">
        <v>1.2</v>
      </c>
      <c r="O26" s="209">
        <v>0.000631</v>
      </c>
      <c r="P26" s="209">
        <v>1.6</v>
      </c>
      <c r="Q26" s="209">
        <v>0.68</v>
      </c>
      <c r="R26" s="209">
        <v>0.92</v>
      </c>
      <c r="S26" s="88">
        <f t="shared" si="2"/>
        <v>33686.90517302228</v>
      </c>
      <c r="T26" s="317">
        <f t="shared" si="4"/>
        <v>13.392914193823298</v>
      </c>
      <c r="U26" s="317">
        <f>((E26+S26)*(Rates!$E$5/1000))/(2*J26)</f>
        <v>0.7386564775449217</v>
      </c>
      <c r="V26" s="424">
        <f>(E26*(Rates!$E$6/1000))/J26</f>
        <v>0</v>
      </c>
      <c r="W26" s="317">
        <f>((E26+S26)*(Rates!$E$4/100))/(2*J26)</f>
        <v>6.1554706462076805</v>
      </c>
      <c r="X26" s="424">
        <f t="shared" si="3"/>
        <v>7.524123761378688</v>
      </c>
      <c r="Y26" s="318">
        <f>IF(F26="-","-",IF(I26="-",IF(F26=1,H26*Rates!$E$12*Rates!$E$7,IF(F26=2,H26*Rates!$E$13*Rates!$E$8,IF(F26=3,H26*Rates!$E$14*Rates!$E$9,"-"))),IF(F26=1,(E26/1000)*Rates!$E$12*Rates!$E$7,IF(F26=2,(E26/1000)*Rates!$E$13*Rates!$E$8,IF(F26=3,(E26/1000)*Rates!$E$14*Rates!$E$9,"-")))))</f>
        <v>18.144000000000002</v>
      </c>
      <c r="Z26" s="317">
        <f>IF(Y26="-","-",Y26*(Rates!$E$10/100))</f>
        <v>2.7216</v>
      </c>
      <c r="AA26" s="317">
        <f t="shared" si="1"/>
        <v>0.5</v>
      </c>
      <c r="AB26" s="226"/>
      <c r="AC26" s="214"/>
      <c r="AD26" s="214"/>
      <c r="AE26" s="214"/>
    </row>
    <row r="27" spans="1:31" ht="15">
      <c r="A27" s="222">
        <v>17</v>
      </c>
      <c r="B27" s="405" t="s">
        <v>655</v>
      </c>
      <c r="C27" s="214">
        <v>125193.0234342676</v>
      </c>
      <c r="D27" s="214">
        <v>130373.37267865968</v>
      </c>
      <c r="E27" s="64">
        <f t="shared" si="0"/>
        <v>127783.19805646365</v>
      </c>
      <c r="F27" s="315">
        <v>1</v>
      </c>
      <c r="G27" s="315" t="s">
        <v>43</v>
      </c>
      <c r="H27" s="315">
        <v>200</v>
      </c>
      <c r="I27" s="322" t="s">
        <v>43</v>
      </c>
      <c r="J27" s="323">
        <v>600</v>
      </c>
      <c r="K27" s="323">
        <v>10</v>
      </c>
      <c r="L27" s="269">
        <v>12000</v>
      </c>
      <c r="M27" s="209">
        <v>0.88</v>
      </c>
      <c r="N27" s="209">
        <v>1.2</v>
      </c>
      <c r="O27" s="209">
        <v>0.000631</v>
      </c>
      <c r="P27" s="209">
        <v>1.6</v>
      </c>
      <c r="Q27" s="209">
        <v>0.68</v>
      </c>
      <c r="R27" s="209">
        <v>0.92</v>
      </c>
      <c r="S27" s="88">
        <f t="shared" si="2"/>
        <v>37745.131198059666</v>
      </c>
      <c r="T27" s="317">
        <f t="shared" si="4"/>
        <v>15.006344476400663</v>
      </c>
      <c r="U27" s="317">
        <f>((E27+S27)*(Rates!$E$5/1000))/(2*J27)</f>
        <v>0.8276416462726166</v>
      </c>
      <c r="V27" s="424">
        <f>(E27*(Rates!$E$6/1000))/J27</f>
        <v>0</v>
      </c>
      <c r="W27" s="317">
        <f>((E27+S27)*(Rates!$E$4/100))/(2*J27)</f>
        <v>6.897013718938473</v>
      </c>
      <c r="X27" s="424">
        <f t="shared" si="3"/>
        <v>8.430547034968166</v>
      </c>
      <c r="Y27" s="318">
        <f>IF(F27="-","-",IF(I27="-",IF(F27=1,H27*Rates!$E$12*Rates!$E$7,IF(F27=2,H27*Rates!$E$13*Rates!$E$8,IF(F27=3,H27*Rates!$E$14*Rates!$E$9,"-"))),IF(F27=1,(E27/1000)*Rates!$E$12*Rates!$E$7,IF(F27=2,(E27/1000)*Rates!$E$13*Rates!$E$8,IF(F27=3,(E27/1000)*Rates!$E$14*Rates!$E$9,"-")))))</f>
        <v>20.16</v>
      </c>
      <c r="Z27" s="317">
        <f>IF(Y27="-","-",Y27*(Rates!$E$10/100))</f>
        <v>3.024</v>
      </c>
      <c r="AA27" s="317">
        <f t="shared" si="1"/>
        <v>0.5</v>
      </c>
      <c r="AB27" s="226"/>
      <c r="AC27" s="214"/>
      <c r="AD27" s="214"/>
      <c r="AE27" s="214"/>
    </row>
    <row r="28" spans="1:31" ht="15">
      <c r="A28" s="222">
        <v>17.1</v>
      </c>
      <c r="B28" s="223" t="s">
        <v>656</v>
      </c>
      <c r="C28" s="214">
        <v>171588.91301965565</v>
      </c>
      <c r="D28" s="214">
        <v>167068.85286052502</v>
      </c>
      <c r="E28" s="64">
        <f t="shared" si="0"/>
        <v>169328.88294009032</v>
      </c>
      <c r="F28" s="315">
        <v>1</v>
      </c>
      <c r="G28" s="315" t="s">
        <v>43</v>
      </c>
      <c r="H28" s="315">
        <v>16</v>
      </c>
      <c r="I28" s="222">
        <v>3</v>
      </c>
      <c r="J28" s="316">
        <v>225</v>
      </c>
      <c r="K28" s="316">
        <v>10</v>
      </c>
      <c r="L28" s="269">
        <v>2000</v>
      </c>
      <c r="M28" s="209">
        <v>0.7</v>
      </c>
      <c r="N28" s="209">
        <v>0.33</v>
      </c>
      <c r="O28" s="209">
        <v>0.000251</v>
      </c>
      <c r="P28" s="209">
        <v>1.8</v>
      </c>
      <c r="Q28" s="209">
        <v>0.64</v>
      </c>
      <c r="R28" s="209">
        <v>0.895</v>
      </c>
      <c r="S28" s="88">
        <f>E28*Q28*(R28^K28)</f>
        <v>35738.91556773322</v>
      </c>
      <c r="T28" s="317">
        <f>(E28-S28)/(J28*K28)</f>
        <v>59.37331883215871</v>
      </c>
      <c r="U28" s="317">
        <f>((E28+S28)*(Rates!$E$5/1000))/(2*J28)</f>
        <v>2.7342373134376476</v>
      </c>
      <c r="V28" s="424">
        <f>(E28*(Rates!$E$6/1000))/J28</f>
        <v>0</v>
      </c>
      <c r="W28" s="317">
        <f>((E28+S28)*(Rates!$E$4/100))/(2*J28)</f>
        <v>22.78531094531373</v>
      </c>
      <c r="X28" s="424">
        <f>((E28*N28)*(AA28^P28))/(J28*K28)</f>
        <v>30.69990315901472</v>
      </c>
      <c r="Y28" s="318">
        <f>IF(F28="-","-",IF(I28="-",IF(F28=1,H28*Rates!$E$12*Rates!$E$7,IF(F28=2,H28*Rates!$E$13*Rates!$E$8,IF(F28=3,H28*Rates!$E$14*Rates!$E$9,"-"))),IF(F28=1,(E28/1000)*Rates!$E$12*Rates!$E$7,IF(F28=2,(E28/1000)*Rates!$E$13*Rates!$E$8,IF(F28=3,(E28/1000)*Rates!$E$14*Rates!$E$9,"-")))))</f>
        <v>17.068351400361106</v>
      </c>
      <c r="Z28" s="317">
        <f>IF(Y28="-","-",Y28*(Rates!$E$10/100))</f>
        <v>2.560252710054166</v>
      </c>
      <c r="AA28" s="317">
        <f t="shared" si="1"/>
        <v>1.125</v>
      </c>
      <c r="AB28" s="226"/>
      <c r="AC28" s="214"/>
      <c r="AD28" s="214"/>
      <c r="AE28" s="82"/>
    </row>
    <row r="29" spans="1:31" ht="15">
      <c r="A29" s="222">
        <v>17.2</v>
      </c>
      <c r="B29" s="223" t="s">
        <v>657</v>
      </c>
      <c r="C29" s="214">
        <v>29415.242231940967</v>
      </c>
      <c r="D29" s="214">
        <v>28640.37477609</v>
      </c>
      <c r="E29" s="64">
        <f t="shared" si="0"/>
        <v>29027.808504015484</v>
      </c>
      <c r="F29" s="315">
        <v>1</v>
      </c>
      <c r="G29" s="315" t="s">
        <v>43</v>
      </c>
      <c r="H29" s="315">
        <v>5</v>
      </c>
      <c r="I29" s="222">
        <v>3</v>
      </c>
      <c r="J29" s="316">
        <v>200</v>
      </c>
      <c r="K29" s="316">
        <v>15</v>
      </c>
      <c r="L29" s="269">
        <v>3000</v>
      </c>
      <c r="M29" s="209">
        <v>0.7</v>
      </c>
      <c r="N29" s="209">
        <v>0.75</v>
      </c>
      <c r="O29" s="209">
        <v>0.000251</v>
      </c>
      <c r="P29" s="209">
        <v>1.8</v>
      </c>
      <c r="Q29" s="209">
        <v>0.6</v>
      </c>
      <c r="R29" s="209">
        <v>0.885</v>
      </c>
      <c r="S29" s="88">
        <f>E29*Q29*(R29^K29)</f>
        <v>2786.856201685992</v>
      </c>
      <c r="T29" s="317">
        <f>(E29-S29)/(J29*K29)</f>
        <v>8.746984100776498</v>
      </c>
      <c r="U29" s="317">
        <f>((E29+S29)*(Rates!$E$5/1000))/(2*J29)</f>
        <v>0.4772199705855221</v>
      </c>
      <c r="V29" s="424">
        <f>(E29*(Rates!$E$6/1000))/J29</f>
        <v>0</v>
      </c>
      <c r="W29" s="317">
        <f>((E29+S29)*(Rates!$E$4/100))/(2*J29)</f>
        <v>3.9768330882126843</v>
      </c>
      <c r="X29" s="424">
        <f>((E29*N29)*(AA29^P29))/(J29*K29)</f>
        <v>7.2569521260038705</v>
      </c>
      <c r="Y29" s="318">
        <f>IF(F29="-","-",IF(I29="-",IF(F29=1,H29*Rates!$E$12*Rates!$E$7,IF(F29=2,H29*Rates!$E$13*Rates!$E$8,IF(F29=3,H29*Rates!$E$14*Rates!$E$9,"-"))),IF(F29=1,(E29/1000)*Rates!$E$12*Rates!$E$7,IF(F29=2,(E29/1000)*Rates!$E$13*Rates!$E$8,IF(F29=3,(E29/1000)*Rates!$E$14*Rates!$E$9,"-")))))</f>
        <v>2.926003097204761</v>
      </c>
      <c r="Z29" s="324">
        <f>IF(Y29="-","-",Y29*(Rates!$E$10/100))</f>
        <v>0.43890046458071413</v>
      </c>
      <c r="AA29" s="317">
        <f t="shared" si="1"/>
        <v>1</v>
      </c>
      <c r="AB29" s="226"/>
      <c r="AC29" s="82"/>
      <c r="AD29" s="82"/>
      <c r="AE29" s="82"/>
    </row>
    <row r="30" spans="1:31" ht="15">
      <c r="A30" s="376">
        <v>17.3</v>
      </c>
      <c r="B30" s="377" t="s">
        <v>832</v>
      </c>
      <c r="C30" s="214">
        <v>97335</v>
      </c>
      <c r="D30" s="214">
        <v>99750</v>
      </c>
      <c r="E30" s="64">
        <f>IF(C30=0,D30,IF(D30=0,C30,AVERAGE(C30,D30)))</f>
        <v>98542.5</v>
      </c>
      <c r="F30" s="315">
        <v>1</v>
      </c>
      <c r="G30" s="315" t="s">
        <v>43</v>
      </c>
      <c r="H30" s="378">
        <v>6</v>
      </c>
      <c r="I30" s="376">
        <v>3.5</v>
      </c>
      <c r="J30" s="379">
        <v>300</v>
      </c>
      <c r="K30" s="379">
        <v>10</v>
      </c>
      <c r="L30" s="380">
        <v>2000</v>
      </c>
      <c r="M30" s="334">
        <v>0.7</v>
      </c>
      <c r="N30" s="334">
        <v>0.33</v>
      </c>
      <c r="O30" s="334">
        <v>0.000251</v>
      </c>
      <c r="P30" s="334">
        <v>1.6</v>
      </c>
      <c r="Q30" s="334">
        <v>0.56</v>
      </c>
      <c r="R30" s="334">
        <v>0.885</v>
      </c>
      <c r="S30" s="88">
        <f>E30*Q30*(R30^K30)</f>
        <v>16264.634566665758</v>
      </c>
      <c r="T30" s="317">
        <f>(E30-S30)/(J30*K30)</f>
        <v>27.425955144444746</v>
      </c>
      <c r="U30" s="317">
        <f>((E30+S30)*(Rates!$E$5/1000))/(2*J30)</f>
        <v>1.1480713456666576</v>
      </c>
      <c r="V30" s="424">
        <f>(E30*(Rates!$E$6/1000))/J30</f>
        <v>0</v>
      </c>
      <c r="W30" s="317">
        <f>((E30+S30)*(Rates!$E$4/100))/(2*J30)</f>
        <v>9.567261213888814</v>
      </c>
      <c r="X30" s="424">
        <f>((E30*N30)*(AA30^P30))/(J30*K30)</f>
        <v>20.737780610731306</v>
      </c>
      <c r="Y30" s="318">
        <f>IF(F30="-","-",IF(I30="-",IF(F30=1,H30*Rates!$E$12*Rates!$E$7,IF(F30=2,H30*Rates!$E$13*Rates!$E$8,IF(F30=3,H30*Rates!$E$14*Rates!$E$9,"-"))),IF(F30=1,(E30/1000)*Rates!$E$12*Rates!$E$7,IF(F30=2,(E30/1000)*Rates!$E$13*Rates!$E$8,IF(F30=3,(E30/1000)*Rates!$E$14*Rates!$E$9,"-")))))</f>
        <v>9.933084000000003</v>
      </c>
      <c r="Z30" s="324">
        <f>IF(Y30="-","-",Y30*(Rates!$E$10/100))</f>
        <v>1.4899626000000004</v>
      </c>
      <c r="AA30" s="317">
        <f>(K30*J30)/L30</f>
        <v>1.5</v>
      </c>
      <c r="AB30" s="226"/>
      <c r="AC30" s="214"/>
      <c r="AD30" s="214"/>
      <c r="AE30" s="214"/>
    </row>
    <row r="31" spans="1:31" ht="15">
      <c r="A31" s="222"/>
      <c r="B31" s="82"/>
      <c r="C31" s="214"/>
      <c r="D31" s="82"/>
      <c r="E31" s="64"/>
      <c r="F31" s="325"/>
      <c r="G31" s="326"/>
      <c r="H31" s="315"/>
      <c r="I31" s="222"/>
      <c r="J31" s="316"/>
      <c r="K31" s="316"/>
      <c r="L31" s="269"/>
      <c r="M31" s="209"/>
      <c r="N31" s="209"/>
      <c r="O31" s="209"/>
      <c r="P31" s="209"/>
      <c r="Q31" s="209"/>
      <c r="R31" s="209"/>
      <c r="S31" s="66"/>
      <c r="T31" s="78"/>
      <c r="U31" s="424"/>
      <c r="V31" s="424"/>
      <c r="W31" s="424"/>
      <c r="X31" s="424"/>
      <c r="Y31" s="424"/>
      <c r="Z31" s="424"/>
      <c r="AA31" s="424"/>
      <c r="AB31" s="226"/>
      <c r="AC31" s="214"/>
      <c r="AD31" s="214"/>
      <c r="AE31" s="214"/>
    </row>
    <row r="32" spans="1:31" ht="15">
      <c r="A32" s="423" t="s">
        <v>47</v>
      </c>
      <c r="B32" s="82"/>
      <c r="C32" s="82"/>
      <c r="D32" s="82"/>
      <c r="E32" s="82"/>
      <c r="F32" s="326"/>
      <c r="G32" s="326" t="s">
        <v>0</v>
      </c>
      <c r="H32" s="326" t="s">
        <v>0</v>
      </c>
      <c r="I32" s="327" t="s">
        <v>0</v>
      </c>
      <c r="J32" s="269" t="s">
        <v>0</v>
      </c>
      <c r="K32" s="269" t="s">
        <v>0</v>
      </c>
      <c r="L32" s="269" t="s">
        <v>0</v>
      </c>
      <c r="M32" s="209" t="s">
        <v>0</v>
      </c>
      <c r="N32" s="209" t="s">
        <v>0</v>
      </c>
      <c r="O32" s="209" t="s">
        <v>0</v>
      </c>
      <c r="P32" s="209" t="s">
        <v>0</v>
      </c>
      <c r="Q32" s="209" t="s">
        <v>0</v>
      </c>
      <c r="R32" s="209" t="s">
        <v>0</v>
      </c>
      <c r="S32" s="66"/>
      <c r="T32" s="409"/>
      <c r="U32" s="424"/>
      <c r="V32" s="424"/>
      <c r="W32" s="424"/>
      <c r="X32" s="424"/>
      <c r="Y32" s="318"/>
      <c r="Z32" s="424"/>
      <c r="AA32" s="317"/>
      <c r="AB32" s="226"/>
      <c r="AC32" s="214"/>
      <c r="AD32" s="214"/>
      <c r="AE32" s="214"/>
    </row>
    <row r="33" spans="1:31" ht="15">
      <c r="A33" s="222">
        <v>18</v>
      </c>
      <c r="B33" s="405" t="s">
        <v>658</v>
      </c>
      <c r="C33" s="214">
        <v>4949.589112510934</v>
      </c>
      <c r="D33" s="214">
        <v>6551.485730030589</v>
      </c>
      <c r="E33" s="64">
        <f aca="true" t="shared" si="5" ref="E33:E66">IF(C33=0,D33,IF(D33=0,C33,AVERAGE(C33,D33)))</f>
        <v>5750.537421270761</v>
      </c>
      <c r="F33" s="315" t="s">
        <v>43</v>
      </c>
      <c r="G33" s="315">
        <v>11</v>
      </c>
      <c r="H33" s="315">
        <v>10</v>
      </c>
      <c r="I33" s="222">
        <v>4.1</v>
      </c>
      <c r="J33" s="316">
        <v>200</v>
      </c>
      <c r="K33" s="316">
        <v>12</v>
      </c>
      <c r="L33" s="269">
        <v>2500</v>
      </c>
      <c r="M33" s="209">
        <v>0.8</v>
      </c>
      <c r="N33" s="209">
        <v>2</v>
      </c>
      <c r="O33" s="209">
        <v>0.000393</v>
      </c>
      <c r="P33" s="209">
        <v>1.3</v>
      </c>
      <c r="Q33" s="209">
        <v>0.6</v>
      </c>
      <c r="R33" s="209">
        <v>0.885</v>
      </c>
      <c r="S33" s="88">
        <f aca="true" t="shared" si="6" ref="S33:S103">E33*Q33*(R33^K33)</f>
        <v>796.4874418317297</v>
      </c>
      <c r="T33" s="317">
        <f aca="true" t="shared" si="7" ref="T33:T103">(E33-S33)/(J33*K33)</f>
        <v>2.06418749143293</v>
      </c>
      <c r="U33" s="317">
        <f>((E33+S33)*(Rates!$E$5/1000))/(2*J33)</f>
        <v>0.09820537294653736</v>
      </c>
      <c r="V33" s="424">
        <f>(E33*(Rates!$E$6/1000))/J33</f>
        <v>0</v>
      </c>
      <c r="W33" s="317">
        <f>((E33+S33)*(Rates!$E$4/100))/(2*J33)</f>
        <v>0.8183781078878114</v>
      </c>
      <c r="X33" s="424">
        <f aca="true" t="shared" si="8" ref="X33:X103">((E33*N33)*(AA33^P33))/(J33*K33)</f>
        <v>4.544433899653777</v>
      </c>
      <c r="Y33" s="318" t="str">
        <f>IF(F33="-","-",IF(I33="-",IF(F33=1,H33*Rates!$E$12*Rates!$E$7,IF(F33=2,H33*Rates!$E$13*Rates!$E$8,IF(F33=3,H33*Rates!$E$14*Rates!$E$9,"-"))),IF(F33=1,(E33/1000)*Rates!$E$12*Rates!$E$7,IF(F33=2,(E33/1000)*Rates!$E$13*Rates!$E$8,IF(F33=3,(E33/1000)*Rates!$E$14*Rates!$E$9,"-")))))</f>
        <v>-</v>
      </c>
      <c r="Z33" s="324" t="str">
        <f>IF(Y33="-","-",Y33*(Rates!$E$10/100))</f>
        <v>-</v>
      </c>
      <c r="AA33" s="317">
        <f aca="true" t="shared" si="9" ref="AA33:AA96">(K33*J33)/L33</f>
        <v>0.96</v>
      </c>
      <c r="AB33" s="226"/>
      <c r="AC33" s="214"/>
      <c r="AD33" s="214"/>
      <c r="AE33" s="214"/>
    </row>
    <row r="34" spans="1:31" ht="15">
      <c r="A34" s="222">
        <v>19</v>
      </c>
      <c r="B34" s="405" t="s">
        <v>659</v>
      </c>
      <c r="C34" s="214">
        <v>13528.876907529882</v>
      </c>
      <c r="D34" s="214">
        <v>7000</v>
      </c>
      <c r="E34" s="64">
        <f t="shared" si="5"/>
        <v>10264.438453764942</v>
      </c>
      <c r="F34" s="315" t="s">
        <v>43</v>
      </c>
      <c r="G34" s="315">
        <v>12</v>
      </c>
      <c r="H34" s="315">
        <v>13</v>
      </c>
      <c r="I34" s="222">
        <v>4</v>
      </c>
      <c r="J34" s="316">
        <v>200</v>
      </c>
      <c r="K34" s="316">
        <v>12</v>
      </c>
      <c r="L34" s="269">
        <v>2500</v>
      </c>
      <c r="M34" s="209">
        <v>0.8</v>
      </c>
      <c r="N34" s="209">
        <v>2</v>
      </c>
      <c r="O34" s="209">
        <v>0.000393</v>
      </c>
      <c r="P34" s="209">
        <v>1.3</v>
      </c>
      <c r="Q34" s="209">
        <v>0.6</v>
      </c>
      <c r="R34" s="209">
        <v>0.885</v>
      </c>
      <c r="S34" s="88">
        <f t="shared" si="6"/>
        <v>1421.692570095795</v>
      </c>
      <c r="T34" s="317">
        <f t="shared" si="7"/>
        <v>3.6844774515288115</v>
      </c>
      <c r="U34" s="317">
        <f>((E34+S34)*(Rates!$E$5/1000))/(2*J34)</f>
        <v>0.17529196535791106</v>
      </c>
      <c r="V34" s="424">
        <f>(E34*(Rates!$E$6/1000))/J34</f>
        <v>0</v>
      </c>
      <c r="W34" s="317">
        <f>((E34+S34)*(Rates!$E$4/100))/(2*J34)</f>
        <v>1.4607663779825921</v>
      </c>
      <c r="X34" s="424">
        <f t="shared" si="8"/>
        <v>8.111600473663433</v>
      </c>
      <c r="Y34" s="318" t="str">
        <f>IF(F34="-","-",IF(I34="-",IF(F34=1,H34*Rates!$E$12*Rates!$E$7,IF(F34=2,H34*Rates!$E$13*Rates!$E$8,IF(F34=3,H34*Rates!$E$14*Rates!$E$9,"-"))),IF(F34=1,(E34/1000)*Rates!$E$12*Rates!$E$7,IF(F34=2,(E34/1000)*Rates!$E$13*Rates!$E$8,IF(F34=3,(E34/1000)*Rates!$E$14*Rates!$E$9,"-")))))</f>
        <v>-</v>
      </c>
      <c r="Z34" s="324" t="str">
        <f>IF(Y34="-","-",Y34*(Rates!$E$10/100))</f>
        <v>-</v>
      </c>
      <c r="AA34" s="317">
        <f t="shared" si="9"/>
        <v>0.96</v>
      </c>
      <c r="AB34" s="226"/>
      <c r="AC34" s="214"/>
      <c r="AD34" s="214"/>
      <c r="AE34" s="214"/>
    </row>
    <row r="35" spans="1:31" ht="15">
      <c r="A35" s="222">
        <v>20</v>
      </c>
      <c r="B35" s="405" t="s">
        <v>660</v>
      </c>
      <c r="C35" s="214">
        <v>6865.802588095231</v>
      </c>
      <c r="D35" s="214">
        <v>4833.063243465187</v>
      </c>
      <c r="E35" s="64">
        <f t="shared" si="5"/>
        <v>5849.432915780209</v>
      </c>
      <c r="F35" s="315" t="s">
        <v>43</v>
      </c>
      <c r="G35" s="315">
        <v>10</v>
      </c>
      <c r="H35" s="315">
        <v>24</v>
      </c>
      <c r="I35" s="222">
        <v>5</v>
      </c>
      <c r="J35" s="316">
        <v>150</v>
      </c>
      <c r="K35" s="316">
        <v>10</v>
      </c>
      <c r="L35" s="269">
        <v>2000</v>
      </c>
      <c r="M35" s="209">
        <v>0.4</v>
      </c>
      <c r="N35" s="209">
        <v>0.85</v>
      </c>
      <c r="O35" s="209">
        <v>0.00251</v>
      </c>
      <c r="P35" s="209">
        <v>1.3</v>
      </c>
      <c r="Q35" s="209">
        <v>0.56</v>
      </c>
      <c r="R35" s="209">
        <v>0.885</v>
      </c>
      <c r="S35" s="88">
        <f t="shared" si="6"/>
        <v>965.4604743881195</v>
      </c>
      <c r="T35" s="317">
        <f t="shared" si="7"/>
        <v>3.255981627594727</v>
      </c>
      <c r="U35" s="317">
        <f>((E35+S35)*(Rates!$E$5/1000))/(2*J35)</f>
        <v>0.13629786780336656</v>
      </c>
      <c r="V35" s="424">
        <f>(E35*(Rates!$E$6/1000))/J35</f>
        <v>0</v>
      </c>
      <c r="W35" s="317">
        <f>((E35+S35)*(Rates!$E$4/100))/(2*J35)</f>
        <v>1.1358155650280548</v>
      </c>
      <c r="X35" s="424">
        <f t="shared" si="8"/>
        <v>2.2804527259728475</v>
      </c>
      <c r="Y35" s="318" t="str">
        <f>IF(F35="-","-",IF(I35="-",IF(F35=1,H35*Rates!$E$12*Rates!$E$7,IF(F35=2,H35*Rates!$E$13*Rates!$E$8,IF(F35=3,H35*Rates!$E$14*Rates!$E$9,"-"))),IF(F35=1,(E35/1000)*Rates!$E$12*Rates!$E$7,IF(F35=2,(E35/1000)*Rates!$E$13*Rates!$E$8,IF(F35=3,(E35/1000)*Rates!$E$14*Rates!$E$9,"-")))))</f>
        <v>-</v>
      </c>
      <c r="Z35" s="324" t="str">
        <f>IF(Y35="-","-",Y35*(Rates!$E$10/100))</f>
        <v>-</v>
      </c>
      <c r="AA35" s="317">
        <f t="shared" si="9"/>
        <v>0.75</v>
      </c>
      <c r="AB35" s="226"/>
      <c r="AC35" s="214"/>
      <c r="AD35" s="214"/>
      <c r="AE35" s="214"/>
    </row>
    <row r="36" spans="1:31" ht="15">
      <c r="A36" s="222">
        <v>21</v>
      </c>
      <c r="B36" s="223" t="s">
        <v>661</v>
      </c>
      <c r="C36" s="214">
        <v>6340.973607472339</v>
      </c>
      <c r="D36" s="214">
        <v>6981.091351671938</v>
      </c>
      <c r="E36" s="64">
        <f t="shared" si="5"/>
        <v>6661.032479572139</v>
      </c>
      <c r="F36" s="315" t="s">
        <v>43</v>
      </c>
      <c r="G36" s="315">
        <v>12</v>
      </c>
      <c r="H36" s="315">
        <v>12</v>
      </c>
      <c r="I36" s="222">
        <v>4</v>
      </c>
      <c r="J36" s="328">
        <v>120</v>
      </c>
      <c r="K36" s="328">
        <v>12</v>
      </c>
      <c r="L36" s="328">
        <v>2500</v>
      </c>
      <c r="M36" s="329">
        <v>0.85</v>
      </c>
      <c r="N36" s="329">
        <v>0.65</v>
      </c>
      <c r="O36" s="329">
        <v>0.000393</v>
      </c>
      <c r="P36" s="329">
        <v>1.8</v>
      </c>
      <c r="Q36" s="329">
        <v>0.6</v>
      </c>
      <c r="R36" s="329">
        <v>0.885</v>
      </c>
      <c r="S36" s="88">
        <f t="shared" si="6"/>
        <v>922.5970254515926</v>
      </c>
      <c r="T36" s="317">
        <f t="shared" si="7"/>
        <v>3.9850246209170463</v>
      </c>
      <c r="U36" s="317">
        <f>((E36+S36)*(Rates!$E$5/1000))/(2*J36)</f>
        <v>0.1895907376255933</v>
      </c>
      <c r="V36" s="424">
        <f>(E36*(Rates!$E$6/1000))/J36</f>
        <v>0</v>
      </c>
      <c r="W36" s="317">
        <f>((E36+S36)*(Rates!$E$4/100))/(2*J36)</f>
        <v>1.5799228135466108</v>
      </c>
      <c r="X36" s="424">
        <f t="shared" si="8"/>
        <v>1.1139171386362678</v>
      </c>
      <c r="Y36" s="318" t="str">
        <f>IF(F36="-","-",IF(I36="-",IF(F36=1,H36*Rates!$E$12*Rates!$E$7,IF(F36=2,H36*Rates!$E$13*Rates!$E$8,IF(F36=3,H36*Rates!$E$14*Rates!$E$9,"-"))),IF(F36=1,(E36/1000)*Rates!$E$12*Rates!$E$7,IF(F36=2,(E36/1000)*Rates!$E$13*Rates!$E$8,IF(F36=3,(E36/1000)*Rates!$E$14*Rates!$E$9,"-")))))</f>
        <v>-</v>
      </c>
      <c r="Z36" s="324" t="str">
        <f>IF(Y36="-","-",Y36*(Rates!$E$10/100))</f>
        <v>-</v>
      </c>
      <c r="AA36" s="317">
        <f t="shared" si="9"/>
        <v>0.576</v>
      </c>
      <c r="AB36" s="226"/>
      <c r="AC36" s="214"/>
      <c r="AD36" s="214"/>
      <c r="AE36" s="214"/>
    </row>
    <row r="37" spans="1:31" ht="15">
      <c r="A37" s="222">
        <v>22</v>
      </c>
      <c r="B37" s="405" t="s">
        <v>662</v>
      </c>
      <c r="C37" s="214">
        <v>6926.1250314403005</v>
      </c>
      <c r="D37" s="214">
        <v>8592.112432827002</v>
      </c>
      <c r="E37" s="64">
        <f t="shared" si="5"/>
        <v>7759.118732133651</v>
      </c>
      <c r="F37" s="315" t="s">
        <v>43</v>
      </c>
      <c r="G37" s="315">
        <v>12</v>
      </c>
      <c r="H37" s="315">
        <v>14</v>
      </c>
      <c r="I37" s="222">
        <v>4</v>
      </c>
      <c r="J37" s="316">
        <v>120</v>
      </c>
      <c r="K37" s="316">
        <v>12</v>
      </c>
      <c r="L37" s="269">
        <v>2500</v>
      </c>
      <c r="M37" s="209">
        <v>0.85</v>
      </c>
      <c r="N37" s="209">
        <v>0.65</v>
      </c>
      <c r="O37" s="209">
        <v>0.000393</v>
      </c>
      <c r="P37" s="209">
        <v>1.8</v>
      </c>
      <c r="Q37" s="209">
        <v>0.6</v>
      </c>
      <c r="R37" s="209">
        <v>0.885</v>
      </c>
      <c r="S37" s="88">
        <f t="shared" si="6"/>
        <v>1074.6892293868618</v>
      </c>
      <c r="T37" s="317">
        <f t="shared" si="7"/>
        <v>4.641964932463048</v>
      </c>
      <c r="U37" s="317">
        <f>((E37+S37)*(Rates!$E$5/1000))/(2*J37)</f>
        <v>0.22084519903801283</v>
      </c>
      <c r="V37" s="424">
        <f>(E37*(Rates!$E$6/1000))/J37</f>
        <v>0</v>
      </c>
      <c r="W37" s="317">
        <f>((E37+S37)*(Rates!$E$4/100))/(2*J37)</f>
        <v>1.8403766586501071</v>
      </c>
      <c r="X37" s="424">
        <f t="shared" si="8"/>
        <v>1.2975488954517984</v>
      </c>
      <c r="Y37" s="318" t="str">
        <f>IF(F37="-","-",IF(I37="-",IF(F37=1,H37*Rates!$E$12*Rates!$E$7,IF(F37=2,H37*Rates!$E$13*Rates!$E$8,IF(F37=3,H37*Rates!$E$14*Rates!$E$9,"-"))),IF(F37=1,(E37/1000)*Rates!$E$12*Rates!$E$7,IF(F37=2,(E37/1000)*Rates!$E$13*Rates!$E$8,IF(F37=3,(E37/1000)*Rates!$E$14*Rates!$E$9,"-")))))</f>
        <v>-</v>
      </c>
      <c r="Z37" s="324" t="str">
        <f>IF(Y37="-","-",Y37*(Rates!$E$10/100))</f>
        <v>-</v>
      </c>
      <c r="AA37" s="317">
        <f t="shared" si="9"/>
        <v>0.576</v>
      </c>
      <c r="AB37" s="226"/>
      <c r="AC37" s="214"/>
      <c r="AD37" s="214"/>
      <c r="AE37" s="214"/>
    </row>
    <row r="38" spans="1:31" ht="15">
      <c r="A38" s="222">
        <v>23</v>
      </c>
      <c r="B38" s="405" t="s">
        <v>663</v>
      </c>
      <c r="C38" s="214">
        <v>11425.851489058577</v>
      </c>
      <c r="D38" s="214">
        <v>12351.161622188813</v>
      </c>
      <c r="E38" s="64">
        <f t="shared" si="5"/>
        <v>11888.506555623695</v>
      </c>
      <c r="F38" s="315" t="s">
        <v>43</v>
      </c>
      <c r="G38" s="315">
        <v>13</v>
      </c>
      <c r="H38" s="315">
        <v>18</v>
      </c>
      <c r="I38" s="222">
        <v>4.5</v>
      </c>
      <c r="J38" s="316">
        <v>120</v>
      </c>
      <c r="K38" s="316">
        <v>12</v>
      </c>
      <c r="L38" s="269">
        <v>2500</v>
      </c>
      <c r="M38" s="209">
        <v>0.85</v>
      </c>
      <c r="N38" s="209">
        <v>0.65</v>
      </c>
      <c r="O38" s="209">
        <v>0.000393</v>
      </c>
      <c r="P38" s="209">
        <v>1.8</v>
      </c>
      <c r="Q38" s="209">
        <v>0.6</v>
      </c>
      <c r="R38" s="209">
        <v>0.885</v>
      </c>
      <c r="S38" s="88">
        <f t="shared" si="6"/>
        <v>1646.6367367097287</v>
      </c>
      <c r="T38" s="317">
        <f t="shared" si="7"/>
        <v>7.112409596468033</v>
      </c>
      <c r="U38" s="317">
        <f>((E38+S38)*(Rates!$E$5/1000))/(2*J38)</f>
        <v>0.33837858230833556</v>
      </c>
      <c r="V38" s="424">
        <f>(E38*(Rates!$E$6/1000))/J38</f>
        <v>0</v>
      </c>
      <c r="W38" s="317">
        <f>((E38+S38)*(Rates!$E$4/100))/(2*J38)</f>
        <v>2.81982151923613</v>
      </c>
      <c r="X38" s="424">
        <f t="shared" si="8"/>
        <v>1.9881018814592977</v>
      </c>
      <c r="Y38" s="318" t="str">
        <f>IF(F38="-","-",IF(I38="-",IF(F38=1,H38*Rates!$E$12*Rates!$E$7,IF(F38=2,H38*Rates!$E$13*Rates!$E$8,IF(F38=3,H38*Rates!$E$14*Rates!$E$9,"-"))),IF(F38=1,(E38/1000)*Rates!$E$12*Rates!$E$7,IF(F38=2,(E38/1000)*Rates!$E$13*Rates!$E$8,IF(F38=3,(E38/1000)*Rates!$E$14*Rates!$E$9,"-")))))</f>
        <v>-</v>
      </c>
      <c r="Z38" s="324" t="str">
        <f>IF(Y38="-","-",Y38*(Rates!$E$10/100))</f>
        <v>-</v>
      </c>
      <c r="AA38" s="317">
        <f t="shared" si="9"/>
        <v>0.576</v>
      </c>
      <c r="AB38" s="226"/>
      <c r="AC38" s="214"/>
      <c r="AD38" s="214"/>
      <c r="AE38" s="214"/>
    </row>
    <row r="39" spans="1:31" ht="15">
      <c r="A39" s="222">
        <v>24</v>
      </c>
      <c r="B39" s="405" t="s">
        <v>664</v>
      </c>
      <c r="C39" s="214">
        <v>5719.525196679299</v>
      </c>
      <c r="D39" s="214">
        <v>6981.091351671938</v>
      </c>
      <c r="E39" s="64">
        <f t="shared" si="5"/>
        <v>6350.308274175619</v>
      </c>
      <c r="F39" s="315" t="s">
        <v>43</v>
      </c>
      <c r="G39" s="315">
        <v>10</v>
      </c>
      <c r="H39" s="315">
        <v>3</v>
      </c>
      <c r="I39" s="222">
        <v>20</v>
      </c>
      <c r="J39" s="316">
        <v>150</v>
      </c>
      <c r="K39" s="316">
        <v>12</v>
      </c>
      <c r="L39" s="269">
        <v>1100</v>
      </c>
      <c r="M39" s="209">
        <v>0.4</v>
      </c>
      <c r="N39" s="209">
        <v>0.5</v>
      </c>
      <c r="O39" s="209">
        <v>0.00251</v>
      </c>
      <c r="P39" s="209">
        <v>1.3</v>
      </c>
      <c r="Q39" s="209">
        <v>0.635</v>
      </c>
      <c r="R39" s="209">
        <v>0.885</v>
      </c>
      <c r="S39" s="88">
        <f t="shared" si="6"/>
        <v>930.8673166005275</v>
      </c>
      <c r="T39" s="317">
        <f t="shared" si="7"/>
        <v>3.010800531986162</v>
      </c>
      <c r="U39" s="317">
        <f>((E39+S39)*(Rates!$E$5/1000))/(2*J39)</f>
        <v>0.1456235118155229</v>
      </c>
      <c r="V39" s="424">
        <f>(E39*(Rates!$E$6/1000))/J39</f>
        <v>0</v>
      </c>
      <c r="W39" s="317">
        <f>((E39+S39)*(Rates!$E$4/100))/(2*J39)</f>
        <v>1.2135292651293579</v>
      </c>
      <c r="X39" s="424">
        <f t="shared" si="8"/>
        <v>3.3460781013728607</v>
      </c>
      <c r="Y39" s="318" t="str">
        <f>IF(F39="-","-",IF(I39="-",IF(F39=1,H39*Rates!$E$12*Rates!$E$7,IF(F39=2,H39*Rates!$E$13*Rates!$E$8,IF(F39=3,H39*Rates!$E$14*Rates!$E$9,"-"))),IF(F39=1,(E39/1000)*Rates!$E$12*Rates!$E$7,IF(F39=2,(E39/1000)*Rates!$E$13*Rates!$E$8,IF(F39=3,(E39/1000)*Rates!$E$14*Rates!$E$9,"-")))))</f>
        <v>-</v>
      </c>
      <c r="Z39" s="324" t="str">
        <f>IF(Y39="-","-",Y39*(Rates!$E$10/100))</f>
        <v>-</v>
      </c>
      <c r="AA39" s="317">
        <f t="shared" si="9"/>
        <v>1.6363636363636365</v>
      </c>
      <c r="AB39" s="226"/>
      <c r="AC39" s="214"/>
      <c r="AD39" s="214"/>
      <c r="AE39" s="214"/>
    </row>
    <row r="40" spans="1:31" ht="15">
      <c r="A40" s="222">
        <v>25</v>
      </c>
      <c r="B40" s="405" t="s">
        <v>665</v>
      </c>
      <c r="C40" s="214">
        <v>3849.6804208418366</v>
      </c>
      <c r="D40" s="214">
        <v>1611.0210811550626</v>
      </c>
      <c r="E40" s="64">
        <f t="shared" si="5"/>
        <v>2730.3507509984497</v>
      </c>
      <c r="F40" s="315" t="s">
        <v>43</v>
      </c>
      <c r="G40" s="315">
        <v>11</v>
      </c>
      <c r="H40" s="315">
        <v>13</v>
      </c>
      <c r="I40" s="222">
        <v>4.5</v>
      </c>
      <c r="J40" s="316">
        <v>50</v>
      </c>
      <c r="K40" s="316">
        <v>30</v>
      </c>
      <c r="L40" s="269">
        <v>2500</v>
      </c>
      <c r="M40" s="209">
        <v>0.7</v>
      </c>
      <c r="N40" s="209">
        <v>0.5</v>
      </c>
      <c r="O40" s="209">
        <v>0.000251</v>
      </c>
      <c r="P40" s="209">
        <v>1.8</v>
      </c>
      <c r="Q40" s="209">
        <v>0.6</v>
      </c>
      <c r="R40" s="209">
        <v>0.885</v>
      </c>
      <c r="S40" s="88">
        <f t="shared" si="6"/>
        <v>41.94380378151507</v>
      </c>
      <c r="T40" s="317">
        <f t="shared" si="7"/>
        <v>1.792271298144623</v>
      </c>
      <c r="U40" s="317">
        <f>((E40+S40)*(Rates!$E$5/1000))/(2*J40)</f>
        <v>0.1663376732867979</v>
      </c>
      <c r="V40" s="424">
        <f>(E40*(Rates!$E$6/1000))/J40</f>
        <v>0</v>
      </c>
      <c r="W40" s="317">
        <f>((E40+S40)*(Rates!$E$4/100))/(2*J40)</f>
        <v>1.3861472773899826</v>
      </c>
      <c r="X40" s="424">
        <f t="shared" si="8"/>
        <v>0.362885351648229</v>
      </c>
      <c r="Y40" s="318" t="str">
        <f>IF(F40="-","-",IF(I40="-",IF(F40=1,H40*Rates!$E$12*Rates!$E$7,IF(F40=2,H40*Rates!$E$13*Rates!$E$8,IF(F40=3,H40*Rates!$E$14*Rates!$E$9,"-"))),IF(F40=1,(E40/1000)*Rates!$E$12*Rates!$E$7,IF(F40=2,(E40/1000)*Rates!$E$13*Rates!$E$8,IF(F40=3,(E40/1000)*Rates!$E$14*Rates!$E$9,"-")))))</f>
        <v>-</v>
      </c>
      <c r="Z40" s="324" t="str">
        <f>IF(Y40="-","-",Y40*(Rates!$E$10/100))</f>
        <v>-</v>
      </c>
      <c r="AA40" s="317">
        <f t="shared" si="9"/>
        <v>0.6</v>
      </c>
      <c r="AB40" s="226"/>
      <c r="AC40" s="214"/>
      <c r="AD40" s="214"/>
      <c r="AE40" s="214"/>
    </row>
    <row r="41" spans="1:31" ht="15">
      <c r="A41" s="222">
        <v>26</v>
      </c>
      <c r="B41" s="223" t="s">
        <v>666</v>
      </c>
      <c r="C41" s="214">
        <v>1649.8630375036441</v>
      </c>
      <c r="D41" s="214">
        <v>537.0070270516876</v>
      </c>
      <c r="E41" s="64">
        <f t="shared" si="5"/>
        <v>1093.4350322776659</v>
      </c>
      <c r="F41" s="315" t="s">
        <v>43</v>
      </c>
      <c r="G41" s="315">
        <v>10</v>
      </c>
      <c r="H41" s="315">
        <v>4</v>
      </c>
      <c r="I41" s="222">
        <v>3.5</v>
      </c>
      <c r="J41" s="328">
        <v>100</v>
      </c>
      <c r="K41" s="328">
        <v>10</v>
      </c>
      <c r="L41" s="328">
        <v>2000</v>
      </c>
      <c r="M41" s="329">
        <v>0.5</v>
      </c>
      <c r="N41" s="329">
        <v>0.75</v>
      </c>
      <c r="O41" s="329">
        <v>0.000251</v>
      </c>
      <c r="P41" s="329">
        <v>1.8</v>
      </c>
      <c r="Q41" s="329">
        <v>0.6</v>
      </c>
      <c r="R41" s="329">
        <v>0.885</v>
      </c>
      <c r="S41" s="88">
        <f t="shared" si="6"/>
        <v>193.3645876766726</v>
      </c>
      <c r="T41" s="317">
        <f t="shared" si="7"/>
        <v>0.9000704446009933</v>
      </c>
      <c r="U41" s="317">
        <f>((E41+S41)*(Rates!$E$5/1000))/(2*J41)</f>
        <v>0.03860398859863016</v>
      </c>
      <c r="V41" s="424">
        <f>(E41*(Rates!$E$6/1000))/J41</f>
        <v>0</v>
      </c>
      <c r="W41" s="317">
        <f>((E41+S41)*(Rates!$E$4/100))/(2*J41)</f>
        <v>0.3216999049885847</v>
      </c>
      <c r="X41" s="424">
        <f t="shared" si="8"/>
        <v>0.2355050667887784</v>
      </c>
      <c r="Y41" s="318" t="str">
        <f>IF(F41="-","-",IF(I41="-",IF(F41=1,H41*Rates!$E$12*Rates!$E$7,IF(F41=2,H41*Rates!$E$13*Rates!$E$8,IF(F41=3,H41*Rates!$E$14*Rates!$E$9,"-"))),IF(F41=1,(E41/1000)*Rates!$E$12*Rates!$E$7,IF(F41=2,(E41/1000)*Rates!$E$13*Rates!$E$8,IF(F41=3,(E41/1000)*Rates!$E$14*Rates!$E$9,"-")))))</f>
        <v>-</v>
      </c>
      <c r="Z41" s="324" t="str">
        <f>IF(Y41="-","-",Y41*(Rates!$E$10/100))</f>
        <v>-</v>
      </c>
      <c r="AA41" s="317">
        <f t="shared" si="9"/>
        <v>0.5</v>
      </c>
      <c r="AB41" s="226"/>
      <c r="AC41" s="214"/>
      <c r="AD41" s="214"/>
      <c r="AE41" s="214"/>
    </row>
    <row r="42" spans="1:31" ht="15">
      <c r="A42" s="222">
        <v>27</v>
      </c>
      <c r="B42" s="405" t="s">
        <v>667</v>
      </c>
      <c r="C42" s="214">
        <v>2749.77172917274</v>
      </c>
      <c r="D42" s="214">
        <v>1923.5591708991449</v>
      </c>
      <c r="E42" s="64">
        <f t="shared" si="5"/>
        <v>2336.6654500359423</v>
      </c>
      <c r="F42" s="315" t="s">
        <v>43</v>
      </c>
      <c r="G42" s="315">
        <v>10</v>
      </c>
      <c r="H42" s="315">
        <v>6</v>
      </c>
      <c r="I42" s="222">
        <v>3.8</v>
      </c>
      <c r="J42" s="316">
        <v>100</v>
      </c>
      <c r="K42" s="316">
        <v>10</v>
      </c>
      <c r="L42" s="269">
        <v>2000</v>
      </c>
      <c r="M42" s="209">
        <v>0.65</v>
      </c>
      <c r="N42" s="209">
        <v>0.65</v>
      </c>
      <c r="O42" s="209">
        <v>0.000251</v>
      </c>
      <c r="P42" s="209">
        <v>1.6</v>
      </c>
      <c r="Q42" s="209">
        <v>0.6</v>
      </c>
      <c r="R42" s="209">
        <v>0.885</v>
      </c>
      <c r="S42" s="88">
        <f t="shared" si="6"/>
        <v>413.21920182431995</v>
      </c>
      <c r="T42" s="317">
        <f t="shared" si="7"/>
        <v>1.9234462482116224</v>
      </c>
      <c r="U42" s="317">
        <f>((E42+S42)*(Rates!$E$5/1000))/(2*J42)</f>
        <v>0.08249653955580787</v>
      </c>
      <c r="V42" s="424">
        <f>(E42*(Rates!$E$6/1000))/J42</f>
        <v>0</v>
      </c>
      <c r="W42" s="317">
        <f>((E42+S42)*(Rates!$E$4/100))/(2*J42)</f>
        <v>0.6874711629650656</v>
      </c>
      <c r="X42" s="424">
        <f t="shared" si="8"/>
        <v>0.5010278887497214</v>
      </c>
      <c r="Y42" s="318" t="str">
        <f>IF(F42="-","-",IF(I42="-",IF(F42=1,H42*Rates!$E$12*Rates!$E$7,IF(F42=2,H42*Rates!$E$13*Rates!$E$8,IF(F42=3,H42*Rates!$E$14*Rates!$E$9,"-"))),IF(F42=1,(E42/1000)*Rates!$E$12*Rates!$E$7,IF(F42=2,(E42/1000)*Rates!$E$13*Rates!$E$8,IF(F42=3,(E42/1000)*Rates!$E$14*Rates!$E$9,"-")))))</f>
        <v>-</v>
      </c>
      <c r="Z42" s="324" t="str">
        <f>IF(Y42="-","-",Y42*(Rates!$E$10/100))</f>
        <v>-</v>
      </c>
      <c r="AA42" s="317">
        <f t="shared" si="9"/>
        <v>0.5</v>
      </c>
      <c r="AB42" s="226"/>
      <c r="AC42" s="214"/>
      <c r="AD42" s="214"/>
      <c r="AE42" s="214"/>
    </row>
    <row r="43" spans="1:31" ht="15">
      <c r="A43" s="222">
        <v>28</v>
      </c>
      <c r="B43" s="405" t="s">
        <v>668</v>
      </c>
      <c r="C43" s="214">
        <v>4399.634766676384</v>
      </c>
      <c r="D43" s="214">
        <v>3490.545675835969</v>
      </c>
      <c r="E43" s="64">
        <f t="shared" si="5"/>
        <v>3945.090221256177</v>
      </c>
      <c r="F43" s="315" t="s">
        <v>43</v>
      </c>
      <c r="G43" s="315">
        <v>11</v>
      </c>
      <c r="H43" s="315">
        <v>12</v>
      </c>
      <c r="I43" s="222">
        <v>3.8</v>
      </c>
      <c r="J43" s="316">
        <v>100</v>
      </c>
      <c r="K43" s="316">
        <v>15</v>
      </c>
      <c r="L43" s="269">
        <v>2500</v>
      </c>
      <c r="M43" s="209">
        <v>0.8</v>
      </c>
      <c r="N43" s="209">
        <v>1</v>
      </c>
      <c r="O43" s="209">
        <v>0.000251</v>
      </c>
      <c r="P43" s="209">
        <v>1.8</v>
      </c>
      <c r="Q43" s="209">
        <v>0.6</v>
      </c>
      <c r="R43" s="209">
        <v>0.885</v>
      </c>
      <c r="S43" s="88">
        <f t="shared" si="6"/>
        <v>378.7540195394929</v>
      </c>
      <c r="T43" s="317">
        <f t="shared" si="7"/>
        <v>2.3775574678111226</v>
      </c>
      <c r="U43" s="317">
        <f>((E43+S43)*(Rates!$E$5/1000))/(2*J43)</f>
        <v>0.1297153272238701</v>
      </c>
      <c r="V43" s="424">
        <f>(E43*(Rates!$E$6/1000))/J43</f>
        <v>0</v>
      </c>
      <c r="W43" s="317">
        <f>((E43+S43)*(Rates!$E$4/100))/(2*J43)</f>
        <v>1.0809610601989175</v>
      </c>
      <c r="X43" s="424">
        <f t="shared" si="8"/>
        <v>1.0486677960339097</v>
      </c>
      <c r="Y43" s="318" t="str">
        <f>IF(F43="-","-",IF(I43="-",IF(F43=1,H43*Rates!$E$12*Rates!$E$7,IF(F43=2,H43*Rates!$E$13*Rates!$E$8,IF(F43=3,H43*Rates!$E$14*Rates!$E$9,"-"))),IF(F43=1,(E43/1000)*Rates!$E$12*Rates!$E$7,IF(F43=2,(E43/1000)*Rates!$E$13*Rates!$E$8,IF(F43=3,(E43/1000)*Rates!$E$14*Rates!$E$9,"-")))))</f>
        <v>-</v>
      </c>
      <c r="Z43" s="324" t="str">
        <f>IF(Y43="-","-",Y43*(Rates!$E$10/100))</f>
        <v>-</v>
      </c>
      <c r="AA43" s="317">
        <f t="shared" si="9"/>
        <v>0.6</v>
      </c>
      <c r="AB43" s="226"/>
      <c r="AC43" s="214"/>
      <c r="AD43" s="214"/>
      <c r="AE43" s="214"/>
    </row>
    <row r="44" spans="1:31" ht="15">
      <c r="A44" s="222">
        <v>29</v>
      </c>
      <c r="B44" s="405" t="s">
        <v>669</v>
      </c>
      <c r="C44" s="214">
        <v>6599.452150014577</v>
      </c>
      <c r="D44" s="214">
        <v>3920.151297477319</v>
      </c>
      <c r="E44" s="64">
        <f t="shared" si="5"/>
        <v>5259.801723745948</v>
      </c>
      <c r="F44" s="315" t="s">
        <v>43</v>
      </c>
      <c r="G44" s="315">
        <v>11</v>
      </c>
      <c r="H44" s="315">
        <v>16</v>
      </c>
      <c r="I44" s="222">
        <v>3.8</v>
      </c>
      <c r="J44" s="316">
        <v>125</v>
      </c>
      <c r="K44" s="316">
        <v>15</v>
      </c>
      <c r="L44" s="269">
        <v>2500</v>
      </c>
      <c r="M44" s="209">
        <v>0.8</v>
      </c>
      <c r="N44" s="209">
        <v>1</v>
      </c>
      <c r="O44" s="209">
        <v>0.000251</v>
      </c>
      <c r="P44" s="209">
        <v>1.8</v>
      </c>
      <c r="Q44" s="209">
        <v>0.6</v>
      </c>
      <c r="R44" s="209">
        <v>0.885</v>
      </c>
      <c r="S44" s="88">
        <f t="shared" si="6"/>
        <v>504.97477449709464</v>
      </c>
      <c r="T44" s="317">
        <f t="shared" si="7"/>
        <v>2.5359077062660553</v>
      </c>
      <c r="U44" s="317">
        <f>((E44+S44)*(Rates!$E$5/1000))/(2*J44)</f>
        <v>0.13835463595783304</v>
      </c>
      <c r="V44" s="424">
        <f>(E44*(Rates!$E$6/1000))/J44</f>
        <v>0</v>
      </c>
      <c r="W44" s="317">
        <f>((E44+S44)*(Rates!$E$4/100))/(2*J44)</f>
        <v>1.1529552996486085</v>
      </c>
      <c r="X44" s="424">
        <f t="shared" si="8"/>
        <v>1.6713922154944043</v>
      </c>
      <c r="Y44" s="318" t="str">
        <f>IF(F44="-","-",IF(I44="-",IF(F44=1,H44*Rates!$E$12*Rates!$E$7,IF(F44=2,H44*Rates!$E$13*Rates!$E$8,IF(F44=3,H44*Rates!$E$14*Rates!$E$9,"-"))),IF(F44=1,(E44/1000)*Rates!$E$12*Rates!$E$7,IF(F44=2,(E44/1000)*Rates!$E$13*Rates!$E$8,IF(F44=3,(E44/1000)*Rates!$E$14*Rates!$E$9,"-")))))</f>
        <v>-</v>
      </c>
      <c r="Z44" s="324" t="str">
        <f>IF(Y44="-","-",Y44*(Rates!$E$10/100))</f>
        <v>-</v>
      </c>
      <c r="AA44" s="317">
        <f t="shared" si="9"/>
        <v>0.75</v>
      </c>
      <c r="AB44" s="226"/>
      <c r="AC44" s="214"/>
      <c r="AD44" s="214"/>
      <c r="AE44" s="214"/>
    </row>
    <row r="45" spans="1:31" ht="15">
      <c r="A45" s="222">
        <v>30</v>
      </c>
      <c r="B45" s="405" t="s">
        <v>670</v>
      </c>
      <c r="C45" s="214">
        <v>8249.315187518223</v>
      </c>
      <c r="D45" s="214">
        <v>4940.464648875525</v>
      </c>
      <c r="E45" s="64">
        <f t="shared" si="5"/>
        <v>6594.889918196874</v>
      </c>
      <c r="F45" s="315" t="s">
        <v>43</v>
      </c>
      <c r="G45" s="315">
        <v>11</v>
      </c>
      <c r="H45" s="315">
        <v>16</v>
      </c>
      <c r="I45" s="222">
        <v>3.8</v>
      </c>
      <c r="J45" s="328">
        <v>100</v>
      </c>
      <c r="K45" s="328">
        <v>10</v>
      </c>
      <c r="L45" s="269">
        <v>2000</v>
      </c>
      <c r="M45" s="329">
        <v>0.8</v>
      </c>
      <c r="N45" s="329">
        <v>1</v>
      </c>
      <c r="O45" s="329">
        <v>0.000251</v>
      </c>
      <c r="P45" s="329">
        <v>1.8</v>
      </c>
      <c r="Q45" s="329">
        <v>0.6</v>
      </c>
      <c r="R45" s="329">
        <v>0.885</v>
      </c>
      <c r="S45" s="88">
        <f t="shared" si="6"/>
        <v>1166.2496007182583</v>
      </c>
      <c r="T45" s="317">
        <f t="shared" si="7"/>
        <v>5.4286403174786155</v>
      </c>
      <c r="U45" s="317">
        <f>((E45+S45)*(Rates!$E$5/1000))/(2*J45)</f>
        <v>0.23283418556745394</v>
      </c>
      <c r="V45" s="424">
        <f>(E45*(Rates!$E$6/1000))/J45</f>
        <v>0</v>
      </c>
      <c r="W45" s="317">
        <f>((E45+S45)*(Rates!$E$4/100))/(2*J45)</f>
        <v>1.940284879728783</v>
      </c>
      <c r="X45" s="424">
        <f t="shared" si="8"/>
        <v>1.89388480010482</v>
      </c>
      <c r="Y45" s="318" t="str">
        <f>IF(F45="-","-",IF(I45="-",IF(F45=1,H45*Rates!$E$12*Rates!$E$7,IF(F45=2,H45*Rates!$E$13*Rates!$E$8,IF(F45=3,H45*Rates!$E$14*Rates!$E$9,"-"))),IF(F45=1,(E45/1000)*Rates!$E$12*Rates!$E$7,IF(F45=2,(E45/1000)*Rates!$E$13*Rates!$E$8,IF(F45=3,(E45/1000)*Rates!$E$14*Rates!$E$9,"-")))))</f>
        <v>-</v>
      </c>
      <c r="Z45" s="324" t="str">
        <f>IF(Y45="-","-",Y45*(Rates!$E$10/100))</f>
        <v>-</v>
      </c>
      <c r="AA45" s="317">
        <f t="shared" si="9"/>
        <v>0.5</v>
      </c>
      <c r="AB45" s="226"/>
      <c r="AC45" s="214"/>
      <c r="AD45" s="214"/>
      <c r="AE45" s="214"/>
    </row>
    <row r="46" spans="1:31" ht="15">
      <c r="A46" s="222">
        <v>31</v>
      </c>
      <c r="B46" s="405" t="s">
        <v>671</v>
      </c>
      <c r="C46" s="214">
        <v>7699.360841683673</v>
      </c>
      <c r="D46" s="214">
        <v>4296.056216413501</v>
      </c>
      <c r="E46" s="64">
        <f t="shared" si="5"/>
        <v>5997.708529048587</v>
      </c>
      <c r="F46" s="315" t="s">
        <v>43</v>
      </c>
      <c r="G46" s="315">
        <v>11</v>
      </c>
      <c r="H46" s="315">
        <v>16</v>
      </c>
      <c r="I46" s="222">
        <v>3.8</v>
      </c>
      <c r="J46" s="328">
        <v>100</v>
      </c>
      <c r="K46" s="328">
        <v>10</v>
      </c>
      <c r="L46" s="269">
        <v>2000</v>
      </c>
      <c r="M46" s="329">
        <v>0.8</v>
      </c>
      <c r="N46" s="329">
        <v>1</v>
      </c>
      <c r="O46" s="329">
        <v>0.000251</v>
      </c>
      <c r="P46" s="329">
        <v>1.8</v>
      </c>
      <c r="Q46" s="329">
        <v>0.6</v>
      </c>
      <c r="R46" s="329">
        <v>0.885</v>
      </c>
      <c r="S46" s="88">
        <f t="shared" si="6"/>
        <v>1060.6432046616906</v>
      </c>
      <c r="T46" s="317">
        <f t="shared" si="7"/>
        <v>4.9370653243868965</v>
      </c>
      <c r="U46" s="317">
        <f>((E46+S46)*(Rates!$E$5/1000))/(2*J46)</f>
        <v>0.21175055201130832</v>
      </c>
      <c r="V46" s="424">
        <f>(E46*(Rates!$E$6/1000))/J46</f>
        <v>0</v>
      </c>
      <c r="W46" s="317">
        <f>((E46+S46)*(Rates!$E$4/100))/(2*J46)</f>
        <v>1.7645879334275694</v>
      </c>
      <c r="X46" s="424">
        <f t="shared" si="8"/>
        <v>1.7223894802674498</v>
      </c>
      <c r="Y46" s="318" t="str">
        <f>IF(F46="-","-",IF(I46="-",IF(F46=1,H46*Rates!$E$12*Rates!$E$7,IF(F46=2,H46*Rates!$E$13*Rates!$E$8,IF(F46=3,H46*Rates!$E$14*Rates!$E$9,"-"))),IF(F46=1,(E46/1000)*Rates!$E$12*Rates!$E$7,IF(F46=2,(E46/1000)*Rates!$E$13*Rates!$E$8,IF(F46=3,(E46/1000)*Rates!$E$14*Rates!$E$9,"-")))))</f>
        <v>-</v>
      </c>
      <c r="Z46" s="324" t="str">
        <f>IF(Y46="-","-",Y46*(Rates!$E$10/100))</f>
        <v>-</v>
      </c>
      <c r="AA46" s="317">
        <f t="shared" si="9"/>
        <v>0.5</v>
      </c>
      <c r="AB46" s="226"/>
      <c r="AC46" s="214"/>
      <c r="AD46" s="214"/>
      <c r="AE46" s="214"/>
    </row>
    <row r="47" spans="1:31" ht="15">
      <c r="A47" s="222">
        <v>32</v>
      </c>
      <c r="B47" s="405" t="s">
        <v>672</v>
      </c>
      <c r="C47" s="214">
        <v>7699.360841683673</v>
      </c>
      <c r="D47" s="214">
        <v>4296.056216413501</v>
      </c>
      <c r="E47" s="64">
        <f t="shared" si="5"/>
        <v>5997.708529048587</v>
      </c>
      <c r="F47" s="315" t="s">
        <v>43</v>
      </c>
      <c r="G47" s="315">
        <v>11</v>
      </c>
      <c r="H47" s="315">
        <v>16</v>
      </c>
      <c r="I47" s="222">
        <v>3.8</v>
      </c>
      <c r="J47" s="328">
        <v>100</v>
      </c>
      <c r="K47" s="328">
        <v>10</v>
      </c>
      <c r="L47" s="269">
        <v>2000</v>
      </c>
      <c r="M47" s="329">
        <v>0.8</v>
      </c>
      <c r="N47" s="329">
        <v>1</v>
      </c>
      <c r="O47" s="329">
        <v>0.000251</v>
      </c>
      <c r="P47" s="329">
        <v>1.8</v>
      </c>
      <c r="Q47" s="329">
        <v>0.6</v>
      </c>
      <c r="R47" s="329">
        <v>0.885</v>
      </c>
      <c r="S47" s="88">
        <f t="shared" si="6"/>
        <v>1060.6432046616906</v>
      </c>
      <c r="T47" s="317">
        <f t="shared" si="7"/>
        <v>4.9370653243868965</v>
      </c>
      <c r="U47" s="317">
        <f>((E47+S47)*(Rates!$E$5/1000))/(2*J47)</f>
        <v>0.21175055201130832</v>
      </c>
      <c r="V47" s="424">
        <f>(E47*(Rates!$E$6/1000))/J47</f>
        <v>0</v>
      </c>
      <c r="W47" s="317">
        <f>((E47+S47)*(Rates!$E$4/100))/(2*J47)</f>
        <v>1.7645879334275694</v>
      </c>
      <c r="X47" s="424">
        <f t="shared" si="8"/>
        <v>1.7223894802674498</v>
      </c>
      <c r="Y47" s="318" t="str">
        <f>IF(F47="-","-",IF(I47="-",IF(F47=1,H47*Rates!$E$12*Rates!$E$7,IF(F47=2,H47*Rates!$E$13*Rates!$E$8,IF(F47=3,H47*Rates!$E$14*Rates!$E$9,"-"))),IF(F47=1,(E47/1000)*Rates!$E$12*Rates!$E$7,IF(F47=2,(E47/1000)*Rates!$E$13*Rates!$E$8,IF(F47=3,(E47/1000)*Rates!$E$14*Rates!$E$9,"-")))))</f>
        <v>-</v>
      </c>
      <c r="Z47" s="324" t="str">
        <f>IF(Y47="-","-",Y47*(Rates!$E$10/100))</f>
        <v>-</v>
      </c>
      <c r="AA47" s="317">
        <f t="shared" si="9"/>
        <v>0.5</v>
      </c>
      <c r="AB47" s="226"/>
      <c r="AC47" s="214"/>
      <c r="AD47" s="214"/>
      <c r="AE47" s="214"/>
    </row>
    <row r="48" spans="1:31" ht="15">
      <c r="A48" s="222">
        <v>33</v>
      </c>
      <c r="B48" s="223" t="s">
        <v>673</v>
      </c>
      <c r="C48" s="214">
        <v>7699.360841683673</v>
      </c>
      <c r="D48" s="214">
        <v>4296.056216413501</v>
      </c>
      <c r="E48" s="64">
        <f t="shared" si="5"/>
        <v>5997.708529048587</v>
      </c>
      <c r="F48" s="315" t="s">
        <v>43</v>
      </c>
      <c r="G48" s="315">
        <v>11</v>
      </c>
      <c r="H48" s="315">
        <v>16</v>
      </c>
      <c r="I48" s="222">
        <v>3.8</v>
      </c>
      <c r="J48" s="328">
        <v>100</v>
      </c>
      <c r="K48" s="328">
        <v>10</v>
      </c>
      <c r="L48" s="328">
        <v>2000</v>
      </c>
      <c r="M48" s="329">
        <v>0.8</v>
      </c>
      <c r="N48" s="329">
        <v>1</v>
      </c>
      <c r="O48" s="329">
        <v>0.000251</v>
      </c>
      <c r="P48" s="329">
        <v>1.8</v>
      </c>
      <c r="Q48" s="329">
        <v>0.6</v>
      </c>
      <c r="R48" s="329">
        <v>0.885</v>
      </c>
      <c r="S48" s="88">
        <f t="shared" si="6"/>
        <v>1060.6432046616906</v>
      </c>
      <c r="T48" s="317">
        <f t="shared" si="7"/>
        <v>4.9370653243868965</v>
      </c>
      <c r="U48" s="317">
        <f>((E48+S48)*(Rates!$E$5/1000))/(2*J48)</f>
        <v>0.21175055201130832</v>
      </c>
      <c r="V48" s="424">
        <f>(E48*(Rates!$E$6/1000))/J48</f>
        <v>0</v>
      </c>
      <c r="W48" s="317">
        <f>((E48+S48)*(Rates!$E$4/100))/(2*J48)</f>
        <v>1.7645879334275694</v>
      </c>
      <c r="X48" s="424">
        <f t="shared" si="8"/>
        <v>1.7223894802674498</v>
      </c>
      <c r="Y48" s="318" t="str">
        <f>IF(F48="-","-",IF(I48="-",IF(F48=1,H48*Rates!$E$12*Rates!$E$7,IF(F48=2,H48*Rates!$E$13*Rates!$E$8,IF(F48=3,H48*Rates!$E$14*Rates!$E$9,"-"))),IF(F48=1,(E48/1000)*Rates!$E$12*Rates!$E$7,IF(F48=2,(E48/1000)*Rates!$E$13*Rates!$E$8,IF(F48=3,(E48/1000)*Rates!$E$14*Rates!$E$9,"-")))))</f>
        <v>-</v>
      </c>
      <c r="Z48" s="324" t="str">
        <f>IF(Y48="-","-",Y48*(Rates!$E$10/100))</f>
        <v>-</v>
      </c>
      <c r="AA48" s="317">
        <f t="shared" si="9"/>
        <v>0.5</v>
      </c>
      <c r="AB48" s="226"/>
      <c r="AC48" s="214"/>
      <c r="AD48" s="214"/>
      <c r="AE48" s="214"/>
    </row>
    <row r="49" spans="1:31" ht="15">
      <c r="A49" s="222">
        <v>34</v>
      </c>
      <c r="B49" s="405" t="s">
        <v>674</v>
      </c>
      <c r="C49" s="214">
        <v>7575.92664406303</v>
      </c>
      <c r="D49" s="214">
        <v>7397.570134874246</v>
      </c>
      <c r="E49" s="64">
        <f t="shared" si="5"/>
        <v>7486.7483894686375</v>
      </c>
      <c r="F49" s="315" t="s">
        <v>43</v>
      </c>
      <c r="G49" s="315">
        <v>12</v>
      </c>
      <c r="H49" s="315">
        <v>6</v>
      </c>
      <c r="I49" s="222">
        <v>2.5</v>
      </c>
      <c r="J49" s="316">
        <v>100</v>
      </c>
      <c r="K49" s="316">
        <v>10</v>
      </c>
      <c r="L49" s="269">
        <v>1200</v>
      </c>
      <c r="M49" s="209">
        <v>0.6</v>
      </c>
      <c r="N49" s="209">
        <v>1</v>
      </c>
      <c r="O49" s="209">
        <v>0.00159</v>
      </c>
      <c r="P49" s="209">
        <v>1.4</v>
      </c>
      <c r="Q49" s="209">
        <v>0.65</v>
      </c>
      <c r="R49" s="209">
        <v>0.885</v>
      </c>
      <c r="S49" s="88">
        <f t="shared" si="6"/>
        <v>1434.2976982508</v>
      </c>
      <c r="T49" s="317">
        <f t="shared" si="7"/>
        <v>6.052450691217838</v>
      </c>
      <c r="U49" s="317">
        <f>((E49+S49)*(Rates!$E$5/1000))/(2*J49)</f>
        <v>0.26763138263158315</v>
      </c>
      <c r="V49" s="424">
        <f>(E49*(Rates!$E$6/1000))/J49</f>
        <v>0</v>
      </c>
      <c r="W49" s="317">
        <f>((E49+S49)*(Rates!$E$4/100))/(2*J49)</f>
        <v>2.23026152192986</v>
      </c>
      <c r="X49" s="424">
        <f t="shared" si="8"/>
        <v>5.800153581962498</v>
      </c>
      <c r="Y49" s="318" t="str">
        <f>IF(F49="-","-",IF(I49="-",IF(F49=1,H49*Rates!$E$12*Rates!$E$7,IF(F49=2,H49*Rates!$E$13*Rates!$E$8,IF(F49=3,H49*Rates!$E$14*Rates!$E$9,"-"))),IF(F49=1,(E49/1000)*Rates!$E$12*Rates!$E$7,IF(F49=2,(E49/1000)*Rates!$E$13*Rates!$E$8,IF(F49=3,(E49/1000)*Rates!$E$14*Rates!$E$9,"-")))))</f>
        <v>-</v>
      </c>
      <c r="Z49" s="324" t="str">
        <f>IF(Y49="-","-",Y49*(Rates!$E$10/100))</f>
        <v>-</v>
      </c>
      <c r="AA49" s="317">
        <f t="shared" si="9"/>
        <v>0.8333333333333334</v>
      </c>
      <c r="AB49" s="226"/>
      <c r="AC49" s="214"/>
      <c r="AD49" s="214"/>
      <c r="AE49" s="214"/>
    </row>
    <row r="50" spans="1:31" ht="15">
      <c r="A50" s="222">
        <v>34.1</v>
      </c>
      <c r="B50" s="405" t="s">
        <v>675</v>
      </c>
      <c r="C50" s="214">
        <v>19248.402104209184</v>
      </c>
      <c r="D50" s="214">
        <v>17094.723694478722</v>
      </c>
      <c r="E50" s="64">
        <f>IF(C50=0,D50,IF(D50=0,C50,AVERAGE(C50,D50)))</f>
        <v>18171.562899343953</v>
      </c>
      <c r="F50" s="315" t="s">
        <v>43</v>
      </c>
      <c r="G50" s="315">
        <v>14</v>
      </c>
      <c r="H50" s="315">
        <v>16</v>
      </c>
      <c r="I50" s="222">
        <v>2.5</v>
      </c>
      <c r="J50" s="316">
        <v>100</v>
      </c>
      <c r="K50" s="316">
        <v>10</v>
      </c>
      <c r="L50" s="269">
        <v>1200</v>
      </c>
      <c r="M50" s="209">
        <v>0.6</v>
      </c>
      <c r="N50" s="209">
        <v>1</v>
      </c>
      <c r="O50" s="209">
        <v>0.00159</v>
      </c>
      <c r="P50" s="209">
        <v>1.4</v>
      </c>
      <c r="Q50" s="209">
        <v>0.65</v>
      </c>
      <c r="R50" s="209">
        <v>0.885</v>
      </c>
      <c r="S50" s="88">
        <f>E50*Q50*(R50^K50)</f>
        <v>3481.275112278548</v>
      </c>
      <c r="T50" s="317">
        <f>(E50-S50)/(J50*K50)</f>
        <v>14.690287787065405</v>
      </c>
      <c r="U50" s="317">
        <f>((E50+S50)*(Rates!$E$5/1000))/(2*J50)</f>
        <v>0.6495851403486751</v>
      </c>
      <c r="V50" s="424">
        <f>(E50*(Rates!$E$6/1000))/J50</f>
        <v>0</v>
      </c>
      <c r="W50" s="317">
        <f>((E50+S50)*(Rates!$E$4/100))/(2*J50)</f>
        <v>5.413209502905626</v>
      </c>
      <c r="X50" s="424">
        <f>((E50*N50)*(AA50^P50))/(J50*K50)</f>
        <v>14.077921436326934</v>
      </c>
      <c r="Y50" s="318" t="str">
        <f>IF(F50="-","-",IF(I50="-",IF(F50=1,H50*Rates!$E$12*Rates!$E$7,IF(F50=2,H50*Rates!$E$13*Rates!$E$8,IF(F50=3,H50*Rates!$E$14*Rates!$E$9,"-"))),IF(F50=1,(E50/1000)*Rates!$E$12*Rates!$E$7,IF(F50=2,(E50/1000)*Rates!$E$13*Rates!$E$8,IF(F50=3,(E50/1000)*Rates!$E$14*Rates!$E$9,"-")))))</f>
        <v>-</v>
      </c>
      <c r="Z50" s="324" t="str">
        <f>IF(Y50="-","-",Y50*(Rates!$E$10/100))</f>
        <v>-</v>
      </c>
      <c r="AA50" s="317">
        <f>(K50*J50)/L50</f>
        <v>0.8333333333333334</v>
      </c>
      <c r="AB50" s="226"/>
      <c r="AC50" s="214"/>
      <c r="AD50" s="214"/>
      <c r="AE50" s="214"/>
    </row>
    <row r="51" spans="1:31" ht="15">
      <c r="A51" s="222">
        <v>35</v>
      </c>
      <c r="B51" s="223" t="s">
        <v>676</v>
      </c>
      <c r="C51" s="214">
        <v>19248.402104209184</v>
      </c>
      <c r="D51" s="214">
        <v>10525.337730213078</v>
      </c>
      <c r="E51" s="64">
        <f t="shared" si="5"/>
        <v>14886.86991721113</v>
      </c>
      <c r="F51" s="315" t="s">
        <v>43</v>
      </c>
      <c r="G51" s="315">
        <v>12</v>
      </c>
      <c r="H51" s="315">
        <v>16</v>
      </c>
      <c r="I51" s="222">
        <v>4</v>
      </c>
      <c r="J51" s="328">
        <v>120</v>
      </c>
      <c r="K51" s="328">
        <v>12</v>
      </c>
      <c r="L51" s="328">
        <v>2500</v>
      </c>
      <c r="M51" s="329">
        <v>0.85</v>
      </c>
      <c r="N51" s="329">
        <v>0.65</v>
      </c>
      <c r="O51" s="329">
        <v>0.000393</v>
      </c>
      <c r="P51" s="329">
        <v>1.8</v>
      </c>
      <c r="Q51" s="329">
        <v>0.6</v>
      </c>
      <c r="R51" s="329">
        <v>0.885</v>
      </c>
      <c r="S51" s="88">
        <f t="shared" si="6"/>
        <v>2061.929880393858</v>
      </c>
      <c r="T51" s="317">
        <f t="shared" si="7"/>
        <v>8.906208358900884</v>
      </c>
      <c r="U51" s="317">
        <f>((E51+S51)*(Rates!$E$5/1000))/(2*J51)</f>
        <v>0.42371999494012474</v>
      </c>
      <c r="V51" s="424">
        <f>(E51*(Rates!$E$6/1000))/J51</f>
        <v>0</v>
      </c>
      <c r="W51" s="317">
        <f>((E51+S51)*(Rates!$E$4/100))/(2*J51)</f>
        <v>3.5309999578343727</v>
      </c>
      <c r="X51" s="424">
        <f t="shared" si="8"/>
        <v>2.489514890114351</v>
      </c>
      <c r="Y51" s="318" t="str">
        <f>IF(F51="-","-",IF(I51="-",IF(F51=1,H51*Rates!$E$12*Rates!$E$7,IF(F51=2,H51*Rates!$E$13*Rates!$E$8,IF(F51=3,H51*Rates!$E$14*Rates!$E$9,"-"))),IF(F51=1,(E51/1000)*Rates!$E$12*Rates!$E$7,IF(F51=2,(E51/1000)*Rates!$E$13*Rates!$E$8,IF(F51=3,(E51/1000)*Rates!$E$14*Rates!$E$9,"-")))))</f>
        <v>-</v>
      </c>
      <c r="Z51" s="324" t="str">
        <f>IF(Y51="-","-",Y51*(Rates!$E$10/100))</f>
        <v>-</v>
      </c>
      <c r="AA51" s="317">
        <f t="shared" si="9"/>
        <v>0.576</v>
      </c>
      <c r="AB51" s="226"/>
      <c r="AC51" s="214"/>
      <c r="AD51" s="214"/>
      <c r="AE51" s="214"/>
    </row>
    <row r="52" spans="1:31" ht="15">
      <c r="A52" s="222">
        <v>36</v>
      </c>
      <c r="B52" s="405" t="s">
        <v>677</v>
      </c>
      <c r="C52" s="214">
        <v>23098.082525051017</v>
      </c>
      <c r="D52" s="214">
        <v>13489.616519538391</v>
      </c>
      <c r="E52" s="64">
        <f t="shared" si="5"/>
        <v>18293.849522294702</v>
      </c>
      <c r="F52" s="315" t="s">
        <v>43</v>
      </c>
      <c r="G52" s="315">
        <v>13</v>
      </c>
      <c r="H52" s="315">
        <v>21</v>
      </c>
      <c r="I52" s="222">
        <v>4</v>
      </c>
      <c r="J52" s="316">
        <v>120</v>
      </c>
      <c r="K52" s="316">
        <v>12</v>
      </c>
      <c r="L52" s="269">
        <v>2500</v>
      </c>
      <c r="M52" s="209">
        <v>0.85</v>
      </c>
      <c r="N52" s="209">
        <v>0.65</v>
      </c>
      <c r="O52" s="209">
        <v>0.000393</v>
      </c>
      <c r="P52" s="209">
        <v>1.8</v>
      </c>
      <c r="Q52" s="209">
        <v>0.6</v>
      </c>
      <c r="R52" s="209">
        <v>0.885</v>
      </c>
      <c r="S52" s="88">
        <f t="shared" si="6"/>
        <v>2533.819074608724</v>
      </c>
      <c r="T52" s="317">
        <f t="shared" si="7"/>
        <v>10.944465588670818</v>
      </c>
      <c r="U52" s="317">
        <f>((E52+S52)*(Rates!$E$5/1000))/(2*J52)</f>
        <v>0.5206917149225857</v>
      </c>
      <c r="V52" s="424">
        <f>(E52*(Rates!$E$6/1000))/J52</f>
        <v>0</v>
      </c>
      <c r="W52" s="317">
        <f>((E52+S52)*(Rates!$E$4/100))/(2*J52)</f>
        <v>4.3390976243548804</v>
      </c>
      <c r="X52" s="424">
        <f t="shared" si="8"/>
        <v>3.0592603439498482</v>
      </c>
      <c r="Y52" s="318" t="str">
        <f>IF(F52="-","-",IF(I52="-",IF(F52=1,H52*Rates!$E$12*Rates!$E$7,IF(F52=2,H52*Rates!$E$13*Rates!$E$8,IF(F52=3,H52*Rates!$E$14*Rates!$E$9,"-"))),IF(F52=1,(E52/1000)*Rates!$E$12*Rates!$E$7,IF(F52=2,(E52/1000)*Rates!$E$13*Rates!$E$8,IF(F52=3,(E52/1000)*Rates!$E$14*Rates!$E$9,"-")))))</f>
        <v>-</v>
      </c>
      <c r="Z52" s="324" t="str">
        <f>IF(Y52="-","-",Y52*(Rates!$E$10/100))</f>
        <v>-</v>
      </c>
      <c r="AA52" s="317">
        <f t="shared" si="9"/>
        <v>0.576</v>
      </c>
      <c r="AB52" s="226"/>
      <c r="AC52" s="214"/>
      <c r="AD52" s="214"/>
      <c r="AE52" s="214"/>
    </row>
    <row r="53" spans="1:31" ht="15">
      <c r="A53" s="222">
        <v>37</v>
      </c>
      <c r="B53" s="405" t="s">
        <v>678</v>
      </c>
      <c r="C53" s="214">
        <v>11961.507021901418</v>
      </c>
      <c r="D53" s="214">
        <v>12888.168649240502</v>
      </c>
      <c r="E53" s="64">
        <f t="shared" si="5"/>
        <v>12424.837835570961</v>
      </c>
      <c r="F53" s="315" t="s">
        <v>43</v>
      </c>
      <c r="G53" s="315">
        <v>10</v>
      </c>
      <c r="H53" s="315">
        <v>20</v>
      </c>
      <c r="I53" s="222">
        <v>5</v>
      </c>
      <c r="J53" s="316">
        <v>50</v>
      </c>
      <c r="K53" s="316">
        <v>10</v>
      </c>
      <c r="L53" s="269">
        <v>1000</v>
      </c>
      <c r="M53" s="209">
        <v>0.67</v>
      </c>
      <c r="N53" s="209">
        <v>1</v>
      </c>
      <c r="O53" s="209">
        <v>0.000251</v>
      </c>
      <c r="P53" s="209">
        <v>1.8</v>
      </c>
      <c r="Q53" s="209">
        <v>0.56</v>
      </c>
      <c r="R53" s="209">
        <v>0.885</v>
      </c>
      <c r="S53" s="88">
        <f t="shared" si="6"/>
        <v>2050.744064192039</v>
      </c>
      <c r="T53" s="317">
        <f t="shared" si="7"/>
        <v>20.748187542757844</v>
      </c>
      <c r="U53" s="317">
        <f>((E53+S53)*(Rates!$E$5/1000))/(2*J53)</f>
        <v>0.86853491398578</v>
      </c>
      <c r="V53" s="424">
        <f>(E53*(Rates!$E$6/1000))/J53</f>
        <v>0</v>
      </c>
      <c r="W53" s="317">
        <f>((E53+S53)*(Rates!$E$4/100))/(2*J53)</f>
        <v>7.237790949881501</v>
      </c>
      <c r="X53" s="424">
        <f t="shared" si="8"/>
        <v>7.136195391412643</v>
      </c>
      <c r="Y53" s="318" t="str">
        <f>IF(F53="-","-",IF(I53="-",IF(F53=1,H53*Rates!$E$12*Rates!$E$7,IF(F53=2,H53*Rates!$E$13*Rates!$E$8,IF(F53=3,H53*Rates!$E$14*Rates!$E$9,"-"))),IF(F53=1,(E53/1000)*Rates!$E$12*Rates!$E$7,IF(F53=2,(E53/1000)*Rates!$E$13*Rates!$E$8,IF(F53=3,(E53/1000)*Rates!$E$14*Rates!$E$9,"-")))))</f>
        <v>-</v>
      </c>
      <c r="Z53" s="324" t="str">
        <f>IF(Y53="-","-",Y53*(Rates!$E$10/100))</f>
        <v>-</v>
      </c>
      <c r="AA53" s="317">
        <f t="shared" si="9"/>
        <v>0.5</v>
      </c>
      <c r="AB53" s="226"/>
      <c r="AC53" s="214"/>
      <c r="AD53" s="214"/>
      <c r="AE53" s="214"/>
    </row>
    <row r="54" spans="1:31" ht="15">
      <c r="A54" s="222">
        <v>38</v>
      </c>
      <c r="B54" s="405" t="s">
        <v>679</v>
      </c>
      <c r="C54" s="214">
        <v>1802.6281335687966</v>
      </c>
      <c r="D54" s="214">
        <v>1760.1896997805313</v>
      </c>
      <c r="E54" s="64">
        <f t="shared" si="5"/>
        <v>1781.408916674664</v>
      </c>
      <c r="F54" s="315" t="s">
        <v>43</v>
      </c>
      <c r="G54" s="315">
        <v>10</v>
      </c>
      <c r="H54" s="315">
        <v>5</v>
      </c>
      <c r="I54" s="222">
        <v>4.8</v>
      </c>
      <c r="J54" s="316">
        <v>50</v>
      </c>
      <c r="K54" s="316">
        <v>8</v>
      </c>
      <c r="L54" s="269">
        <v>750</v>
      </c>
      <c r="M54" s="209">
        <v>0.8</v>
      </c>
      <c r="N54" s="209">
        <v>0.85</v>
      </c>
      <c r="O54" s="209">
        <v>0.000251</v>
      </c>
      <c r="P54" s="209">
        <v>1.8</v>
      </c>
      <c r="Q54" s="209">
        <v>0.6</v>
      </c>
      <c r="R54" s="209">
        <v>0.885</v>
      </c>
      <c r="S54" s="88">
        <f t="shared" si="6"/>
        <v>402.21756989468315</v>
      </c>
      <c r="T54" s="317">
        <f t="shared" si="7"/>
        <v>3.447978366949952</v>
      </c>
      <c r="U54" s="317">
        <f>((E54+S54)*(Rates!$E$5/1000))/(2*J54)</f>
        <v>0.13101758919416082</v>
      </c>
      <c r="V54" s="424">
        <f>(E54*(Rates!$E$6/1000))/J54</f>
        <v>0</v>
      </c>
      <c r="W54" s="317">
        <f>((E54+S54)*(Rates!$E$4/100))/(2*J54)</f>
        <v>1.0918132432846734</v>
      </c>
      <c r="X54" s="424">
        <f t="shared" si="8"/>
        <v>1.2210129398866119</v>
      </c>
      <c r="Y54" s="318" t="str">
        <f>IF(F54="-","-",IF(I54="-",IF(F54=1,H54*Rates!$E$12*Rates!$E$7,IF(F54=2,H54*Rates!$E$13*Rates!$E$8,IF(F54=3,H54*Rates!$E$14*Rates!$E$9,"-"))),IF(F54=1,(E54/1000)*Rates!$E$12*Rates!$E$7,IF(F54=2,(E54/1000)*Rates!$E$13*Rates!$E$8,IF(F54=3,(E54/1000)*Rates!$E$14*Rates!$E$9,"-")))))</f>
        <v>-</v>
      </c>
      <c r="Z54" s="324" t="str">
        <f>IF(Y54="-","-",Y54*(Rates!$E$10/100))</f>
        <v>-</v>
      </c>
      <c r="AA54" s="317">
        <f t="shared" si="9"/>
        <v>0.5333333333333333</v>
      </c>
      <c r="AB54" s="226"/>
      <c r="AC54" s="214"/>
      <c r="AD54" s="214"/>
      <c r="AE54" s="214"/>
    </row>
    <row r="55" spans="1:31" ht="15">
      <c r="A55" s="222">
        <v>39</v>
      </c>
      <c r="B55" s="405" t="s">
        <v>680</v>
      </c>
      <c r="C55" s="214">
        <v>11549.041262525509</v>
      </c>
      <c r="D55" s="214">
        <v>13425.175676292185</v>
      </c>
      <c r="E55" s="64">
        <f t="shared" si="5"/>
        <v>12487.108469408846</v>
      </c>
      <c r="F55" s="315" t="s">
        <v>43</v>
      </c>
      <c r="G55" s="315">
        <v>12</v>
      </c>
      <c r="H55" s="315">
        <v>16</v>
      </c>
      <c r="I55" s="222">
        <v>5</v>
      </c>
      <c r="J55" s="316">
        <v>75</v>
      </c>
      <c r="K55" s="316">
        <v>13</v>
      </c>
      <c r="L55" s="269">
        <v>1200</v>
      </c>
      <c r="M55" s="209">
        <v>0.8</v>
      </c>
      <c r="N55" s="209">
        <v>0.8</v>
      </c>
      <c r="O55" s="209">
        <v>6.3E-05</v>
      </c>
      <c r="P55" s="209">
        <v>2.1</v>
      </c>
      <c r="Q55" s="209">
        <v>0.6</v>
      </c>
      <c r="R55" s="209">
        <v>0.885</v>
      </c>
      <c r="S55" s="88">
        <f t="shared" si="6"/>
        <v>1530.6491466065597</v>
      </c>
      <c r="T55" s="317">
        <f t="shared" si="7"/>
        <v>11.237394177233114</v>
      </c>
      <c r="U55" s="317">
        <f>((E55+S55)*(Rates!$E$5/1000))/(2*J55)</f>
        <v>0.5607103046406162</v>
      </c>
      <c r="V55" s="424">
        <f>(E55*(Rates!$E$6/1000))/J55</f>
        <v>0</v>
      </c>
      <c r="W55" s="317">
        <f>((E55+S55)*(Rates!$E$4/100))/(2*J55)</f>
        <v>4.672585872005135</v>
      </c>
      <c r="X55" s="424">
        <f t="shared" si="8"/>
        <v>6.624854307553568</v>
      </c>
      <c r="Y55" s="318" t="str">
        <f>IF(F55="-","-",IF(I55="-",IF(F55=1,H55*Rates!$E$12*Rates!$E$7,IF(F55=2,H55*Rates!$E$13*Rates!$E$8,IF(F55=3,H55*Rates!$E$14*Rates!$E$9,"-"))),IF(F55=1,(E55/1000)*Rates!$E$12*Rates!$E$7,IF(F55=2,(E55/1000)*Rates!$E$13*Rates!$E$8,IF(F55=3,(E55/1000)*Rates!$E$14*Rates!$E$9,"-")))))</f>
        <v>-</v>
      </c>
      <c r="Z55" s="324" t="str">
        <f>IF(Y55="-","-",Y55*(Rates!$E$10/100))</f>
        <v>-</v>
      </c>
      <c r="AA55" s="317">
        <f t="shared" si="9"/>
        <v>0.8125</v>
      </c>
      <c r="AB55" s="226"/>
      <c r="AC55" s="214"/>
      <c r="AD55" s="214"/>
      <c r="AE55" s="214"/>
    </row>
    <row r="56" spans="1:31" ht="15">
      <c r="A56" s="222">
        <v>40</v>
      </c>
      <c r="B56" s="223" t="s">
        <v>681</v>
      </c>
      <c r="C56" s="214">
        <v>8249.315187518223</v>
      </c>
      <c r="D56" s="214">
        <v>5584.87308133755</v>
      </c>
      <c r="E56" s="64">
        <f t="shared" si="5"/>
        <v>6917.094134427886</v>
      </c>
      <c r="F56" s="315" t="s">
        <v>43</v>
      </c>
      <c r="G56" s="315">
        <v>11</v>
      </c>
      <c r="H56" s="315">
        <v>8</v>
      </c>
      <c r="I56" s="222">
        <v>4.5</v>
      </c>
      <c r="J56" s="328">
        <v>75</v>
      </c>
      <c r="K56" s="328">
        <v>13</v>
      </c>
      <c r="L56" s="328">
        <v>1200</v>
      </c>
      <c r="M56" s="329">
        <v>0.8</v>
      </c>
      <c r="N56" s="329">
        <v>0.8</v>
      </c>
      <c r="O56" s="329">
        <v>6.3E-05</v>
      </c>
      <c r="P56" s="329">
        <v>2.1</v>
      </c>
      <c r="Q56" s="329">
        <v>0.6</v>
      </c>
      <c r="R56" s="329">
        <v>0.885</v>
      </c>
      <c r="S56" s="88">
        <f t="shared" si="6"/>
        <v>847.8859825552966</v>
      </c>
      <c r="T56" s="317">
        <f t="shared" si="7"/>
        <v>6.224828873715476</v>
      </c>
      <c r="U56" s="317">
        <f>((E56+S56)*(Rates!$E$5/1000))/(2*J56)</f>
        <v>0.31059920467932733</v>
      </c>
      <c r="V56" s="424">
        <f>(E56*(Rates!$E$6/1000))/J56</f>
        <v>0</v>
      </c>
      <c r="W56" s="317">
        <f>((E56+S56)*(Rates!$E$4/100))/(2*J56)</f>
        <v>2.588326705661061</v>
      </c>
      <c r="X56" s="424">
        <f t="shared" si="8"/>
        <v>3.6697639797460253</v>
      </c>
      <c r="Y56" s="318" t="str">
        <f>IF(F56="-","-",IF(I56="-",IF(F56=1,H56*Rates!$E$12*Rates!$E$7,IF(F56=2,H56*Rates!$E$13*Rates!$E$8,IF(F56=3,H56*Rates!$E$14*Rates!$E$9,"-"))),IF(F56=1,(E56/1000)*Rates!$E$12*Rates!$E$7,IF(F56=2,(E56/1000)*Rates!$E$13*Rates!$E$8,IF(F56=3,(E56/1000)*Rates!$E$14*Rates!$E$9,"-")))))</f>
        <v>-</v>
      </c>
      <c r="Z56" s="324" t="str">
        <f>IF(Y56="-","-",Y56*(Rates!$E$10/100))</f>
        <v>-</v>
      </c>
      <c r="AA56" s="317">
        <f t="shared" si="9"/>
        <v>0.8125</v>
      </c>
      <c r="AB56" s="226"/>
      <c r="AC56" s="214"/>
      <c r="AD56" s="214"/>
      <c r="AE56" s="214"/>
    </row>
    <row r="57" spans="1:31" ht="15">
      <c r="A57" s="222">
        <v>41</v>
      </c>
      <c r="B57" s="405" t="s">
        <v>682</v>
      </c>
      <c r="C57" s="214">
        <v>11747.024827025947</v>
      </c>
      <c r="D57" s="214">
        <v>8592.112432827002</v>
      </c>
      <c r="E57" s="64">
        <f t="shared" si="5"/>
        <v>10169.568629926474</v>
      </c>
      <c r="F57" s="315" t="s">
        <v>43</v>
      </c>
      <c r="G57" s="315">
        <v>12</v>
      </c>
      <c r="H57" s="315">
        <v>13</v>
      </c>
      <c r="I57" s="222">
        <v>5</v>
      </c>
      <c r="J57" s="328">
        <v>75</v>
      </c>
      <c r="K57" s="328">
        <v>13</v>
      </c>
      <c r="L57" s="269">
        <v>1200</v>
      </c>
      <c r="M57" s="329">
        <v>0.8</v>
      </c>
      <c r="N57" s="329">
        <v>0.8</v>
      </c>
      <c r="O57" s="329">
        <v>0.00063</v>
      </c>
      <c r="P57" s="329">
        <v>2.1</v>
      </c>
      <c r="Q57" s="329">
        <v>0.6</v>
      </c>
      <c r="R57" s="329">
        <v>0.885</v>
      </c>
      <c r="S57" s="88">
        <f t="shared" si="6"/>
        <v>1246.5689381082723</v>
      </c>
      <c r="T57" s="317">
        <f t="shared" si="7"/>
        <v>9.151794555710977</v>
      </c>
      <c r="U57" s="317">
        <f>((E57+S57)*(Rates!$E$5/1000))/(2*J57)</f>
        <v>0.4566455027213899</v>
      </c>
      <c r="V57" s="424">
        <f>(E57*(Rates!$E$6/1000))/J57</f>
        <v>0</v>
      </c>
      <c r="W57" s="317">
        <f>((E57+S57)*(Rates!$E$4/100))/(2*J57)</f>
        <v>3.8053791893449156</v>
      </c>
      <c r="X57" s="424">
        <f t="shared" si="8"/>
        <v>5.39531715520683</v>
      </c>
      <c r="Y57" s="318" t="str">
        <f>IF(F57="-","-",IF(I57="-",IF(F57=1,H57*Rates!$E$12*Rates!$E$7,IF(F57=2,H57*Rates!$E$13*Rates!$E$8,IF(F57=3,H57*Rates!$E$14*Rates!$E$9,"-"))),IF(F57=1,(E57/1000)*Rates!$E$12*Rates!$E$7,IF(F57=2,(E57/1000)*Rates!$E$13*Rates!$E$8,IF(F57=3,(E57/1000)*Rates!$E$14*Rates!$E$9,"-")))))</f>
        <v>-</v>
      </c>
      <c r="Z57" s="324" t="str">
        <f>IF(Y57="-","-",Y57*(Rates!$E$10/100))</f>
        <v>-</v>
      </c>
      <c r="AA57" s="317">
        <f t="shared" si="9"/>
        <v>0.8125</v>
      </c>
      <c r="AB57" s="226"/>
      <c r="AC57" s="214"/>
      <c r="AD57" s="214"/>
      <c r="AE57" s="214"/>
    </row>
    <row r="58" spans="1:31" ht="15">
      <c r="A58" s="222">
        <v>42</v>
      </c>
      <c r="B58" s="405" t="s">
        <v>683</v>
      </c>
      <c r="C58" s="214">
        <v>8799.269533352768</v>
      </c>
      <c r="D58" s="214">
        <v>11277.147568085436</v>
      </c>
      <c r="E58" s="64">
        <f t="shared" si="5"/>
        <v>10038.208550719102</v>
      </c>
      <c r="F58" s="315" t="s">
        <v>43</v>
      </c>
      <c r="G58" s="315">
        <v>13</v>
      </c>
      <c r="H58" s="315">
        <v>13</v>
      </c>
      <c r="I58" s="222">
        <v>5</v>
      </c>
      <c r="J58" s="316">
        <v>75</v>
      </c>
      <c r="K58" s="316">
        <v>13</v>
      </c>
      <c r="L58" s="269">
        <v>1200</v>
      </c>
      <c r="M58" s="209">
        <v>0.8</v>
      </c>
      <c r="N58" s="209">
        <v>0.8</v>
      </c>
      <c r="O58" s="209">
        <v>6.3E-05</v>
      </c>
      <c r="P58" s="209">
        <v>2.1</v>
      </c>
      <c r="Q58" s="209">
        <v>0.6</v>
      </c>
      <c r="R58" s="209">
        <v>0.885</v>
      </c>
      <c r="S58" s="88">
        <f t="shared" si="6"/>
        <v>1230.4670364046465</v>
      </c>
      <c r="T58" s="317">
        <f t="shared" si="7"/>
        <v>9.033581040322519</v>
      </c>
      <c r="U58" s="317">
        <f>((E58+S58)*(Rates!$E$5/1000))/(2*J58)</f>
        <v>0.45074702348495</v>
      </c>
      <c r="V58" s="424">
        <f>(E58*(Rates!$E$6/1000))/J58</f>
        <v>0</v>
      </c>
      <c r="W58" s="317">
        <f>((E58+S58)*(Rates!$E$4/100))/(2*J58)</f>
        <v>3.7562251957079167</v>
      </c>
      <c r="X58" s="424">
        <f t="shared" si="8"/>
        <v>5.325625970197148</v>
      </c>
      <c r="Y58" s="318" t="str">
        <f>IF(F58="-","-",IF(I58="-",IF(F58=1,H58*Rates!$E$12*Rates!$E$7,IF(F58=2,H58*Rates!$E$13*Rates!$E$8,IF(F58=3,H58*Rates!$E$14*Rates!$E$9,"-"))),IF(F58=1,(E58/1000)*Rates!$E$12*Rates!$E$7,IF(F58=2,(E58/1000)*Rates!$E$13*Rates!$E$8,IF(F58=3,(E58/1000)*Rates!$E$14*Rates!$E$9,"-")))))</f>
        <v>-</v>
      </c>
      <c r="Z58" s="324" t="str">
        <f>IF(Y58="-","-",Y58*(Rates!$E$10/100))</f>
        <v>-</v>
      </c>
      <c r="AA58" s="317">
        <f t="shared" si="9"/>
        <v>0.8125</v>
      </c>
      <c r="AB58" s="226"/>
      <c r="AC58" s="214"/>
      <c r="AD58" s="214"/>
      <c r="AE58" s="214"/>
    </row>
    <row r="59" spans="1:31" ht="15">
      <c r="A59" s="222">
        <v>43</v>
      </c>
      <c r="B59" s="223" t="s">
        <v>684</v>
      </c>
      <c r="C59" s="214">
        <v>3849.6804208418366</v>
      </c>
      <c r="D59" s="214">
        <v>4389.495439120494</v>
      </c>
      <c r="E59" s="64">
        <f t="shared" si="5"/>
        <v>4119.587929981165</v>
      </c>
      <c r="F59" s="315" t="s">
        <v>43</v>
      </c>
      <c r="G59" s="315">
        <v>10</v>
      </c>
      <c r="H59" s="315">
        <v>6</v>
      </c>
      <c r="I59" s="222">
        <v>3.8</v>
      </c>
      <c r="J59" s="316">
        <v>100</v>
      </c>
      <c r="K59" s="316">
        <v>10</v>
      </c>
      <c r="L59" s="269">
        <v>2000</v>
      </c>
      <c r="M59" s="209">
        <v>0.65</v>
      </c>
      <c r="N59" s="209">
        <v>0.65</v>
      </c>
      <c r="O59" s="209">
        <v>0.000251</v>
      </c>
      <c r="P59" s="209">
        <v>1.6</v>
      </c>
      <c r="Q59" s="209">
        <v>0.6</v>
      </c>
      <c r="R59" s="209">
        <v>0.885</v>
      </c>
      <c r="S59" s="88">
        <f>E59*Q59*(R59^K59)</f>
        <v>728.51371866081</v>
      </c>
      <c r="T59" s="317">
        <f>(E59-S59)/(J59*K59)</f>
        <v>3.391074211320355</v>
      </c>
      <c r="U59" s="317">
        <f>((E59+S59)*(Rates!$E$5/1000))/(2*J59)</f>
        <v>0.14544304945925923</v>
      </c>
      <c r="V59" s="424">
        <f>(E59*(Rates!$E$6/1000))/J59</f>
        <v>0</v>
      </c>
      <c r="W59" s="317">
        <f>((E59+S59)*(Rates!$E$4/100))/(2*J59)</f>
        <v>1.2120254121604939</v>
      </c>
      <c r="X59" s="424">
        <f>((E59*N59)*(AA59^P59))/(J59*K59)</f>
        <v>0.8833221901943855</v>
      </c>
      <c r="Y59" s="318" t="str">
        <f>IF(F59="-","-",IF(I59="-",IF(F59=1,H59*Rates!$E$12*Rates!$E$7,IF(F59=2,H59*Rates!$E$13*Rates!$E$8,IF(F59=3,H59*Rates!$E$14*Rates!$E$9,"-"))),IF(F59=1,(E59/1000)*Rates!$E$12*Rates!$E$7,IF(F59=2,(E59/1000)*Rates!$E$13*Rates!$E$8,IF(F59=3,(E59/1000)*Rates!$E$14*Rates!$E$9,"-")))))</f>
        <v>-</v>
      </c>
      <c r="Z59" s="324" t="str">
        <f>IF(Y59="-","-",Y59*(Rates!$E$10/100))</f>
        <v>-</v>
      </c>
      <c r="AA59" s="317">
        <f t="shared" si="9"/>
        <v>0.5</v>
      </c>
      <c r="AB59" s="226"/>
      <c r="AC59" s="214"/>
      <c r="AD59" s="214"/>
      <c r="AE59" s="214"/>
    </row>
    <row r="60" spans="1:31" ht="15">
      <c r="A60" s="222">
        <v>44</v>
      </c>
      <c r="B60" s="223" t="s">
        <v>685</v>
      </c>
      <c r="C60" s="214">
        <v>11928.509761151348</v>
      </c>
      <c r="D60" s="214">
        <v>12888.168649240502</v>
      </c>
      <c r="E60" s="64">
        <f t="shared" si="5"/>
        <v>12408.339205195925</v>
      </c>
      <c r="F60" s="315" t="s">
        <v>43</v>
      </c>
      <c r="G60" s="315">
        <v>14</v>
      </c>
      <c r="H60" s="315">
        <v>13</v>
      </c>
      <c r="I60" s="222">
        <v>4.5</v>
      </c>
      <c r="J60" s="328">
        <v>120</v>
      </c>
      <c r="K60" s="328">
        <v>12</v>
      </c>
      <c r="L60" s="328">
        <v>2500</v>
      </c>
      <c r="M60" s="329">
        <v>0.85</v>
      </c>
      <c r="N60" s="329">
        <v>0.65</v>
      </c>
      <c r="O60" s="329">
        <v>0.000393</v>
      </c>
      <c r="P60" s="329">
        <v>1.8</v>
      </c>
      <c r="Q60" s="329">
        <v>0.6</v>
      </c>
      <c r="R60" s="329">
        <v>0.885</v>
      </c>
      <c r="S60" s="88">
        <f t="shared" si="6"/>
        <v>1718.6369945824792</v>
      </c>
      <c r="T60" s="317">
        <f t="shared" si="7"/>
        <v>7.423404312926005</v>
      </c>
      <c r="U60" s="317">
        <f>((E60+S60)*(Rates!$E$5/1000))/(2*J60)</f>
        <v>0.3531744049944601</v>
      </c>
      <c r="V60" s="424">
        <f>(E60*(Rates!$E$6/1000))/J60</f>
        <v>0</v>
      </c>
      <c r="W60" s="317">
        <f>((E60+S60)*(Rates!$E$4/100))/(2*J60)</f>
        <v>2.9431200416205012</v>
      </c>
      <c r="X60" s="424">
        <f t="shared" si="8"/>
        <v>2.0750329239601446</v>
      </c>
      <c r="Y60" s="318" t="str">
        <f>IF(F60="-","-",IF(I60="-",IF(F60=1,H60*Rates!$E$12*Rates!$E$7,IF(F60=2,H60*Rates!$E$13*Rates!$E$8,IF(F60=3,H60*Rates!$E$14*Rates!$E$9,"-"))),IF(F60=1,(E60/1000)*Rates!$E$12*Rates!$E$7,IF(F60=2,(E60/1000)*Rates!$E$13*Rates!$E$8,IF(F60=3,(E60/1000)*Rates!$E$14*Rates!$E$9,"-")))))</f>
        <v>-</v>
      </c>
      <c r="Z60" s="324" t="str">
        <f>IF(Y60="-","-",Y60*(Rates!$E$10/100))</f>
        <v>-</v>
      </c>
      <c r="AA60" s="317">
        <f t="shared" si="9"/>
        <v>0.576</v>
      </c>
      <c r="AB60" s="226"/>
      <c r="AC60" s="214"/>
      <c r="AD60" s="214"/>
      <c r="AE60" s="214"/>
    </row>
    <row r="61" spans="1:31" ht="15">
      <c r="A61" s="222">
        <v>45</v>
      </c>
      <c r="B61" s="405" t="s">
        <v>686</v>
      </c>
      <c r="C61" s="214">
        <v>13239.600921620908</v>
      </c>
      <c r="D61" s="214">
        <v>14499.189730395563</v>
      </c>
      <c r="E61" s="64">
        <f t="shared" si="5"/>
        <v>13869.395326008234</v>
      </c>
      <c r="F61" s="315" t="s">
        <v>43</v>
      </c>
      <c r="G61" s="315">
        <v>14</v>
      </c>
      <c r="H61" s="315">
        <v>14</v>
      </c>
      <c r="I61" s="222">
        <v>4.5</v>
      </c>
      <c r="J61" s="316">
        <v>120</v>
      </c>
      <c r="K61" s="316">
        <v>12</v>
      </c>
      <c r="L61" s="269">
        <v>2500</v>
      </c>
      <c r="M61" s="209">
        <v>0.85</v>
      </c>
      <c r="N61" s="209">
        <v>0.65</v>
      </c>
      <c r="O61" s="209">
        <v>0.000393</v>
      </c>
      <c r="P61" s="209">
        <v>1.8</v>
      </c>
      <c r="Q61" s="209">
        <v>0.6</v>
      </c>
      <c r="R61" s="209">
        <v>0.885</v>
      </c>
      <c r="S61" s="88">
        <f t="shared" si="6"/>
        <v>1921.0029243708689</v>
      </c>
      <c r="T61" s="317">
        <f t="shared" si="7"/>
        <v>8.297494723359282</v>
      </c>
      <c r="U61" s="317">
        <f>((E61+S61)*(Rates!$E$5/1000))/(2*J61)</f>
        <v>0.3947599562594776</v>
      </c>
      <c r="V61" s="424">
        <f>(E61*(Rates!$E$6/1000))/J61</f>
        <v>0</v>
      </c>
      <c r="W61" s="317">
        <f>((E61+S61)*(Rates!$E$4/100))/(2*J61)</f>
        <v>3.289666302162313</v>
      </c>
      <c r="X61" s="424">
        <f t="shared" si="8"/>
        <v>2.3193637328059817</v>
      </c>
      <c r="Y61" s="318" t="str">
        <f>IF(F61="-","-",IF(I61="-",IF(F61=1,H61*Rates!$E$12*Rates!$E$7,IF(F61=2,H61*Rates!$E$13*Rates!$E$8,IF(F61=3,H61*Rates!$E$14*Rates!$E$9,"-"))),IF(F61=1,(E61/1000)*Rates!$E$12*Rates!$E$7,IF(F61=2,(E61/1000)*Rates!$E$13*Rates!$E$8,IF(F61=3,(E61/1000)*Rates!$E$14*Rates!$E$9,"-")))))</f>
        <v>-</v>
      </c>
      <c r="Z61" s="324" t="str">
        <f>IF(Y61="-","-",Y61*(Rates!$E$10/100))</f>
        <v>-</v>
      </c>
      <c r="AA61" s="317">
        <f t="shared" si="9"/>
        <v>0.576</v>
      </c>
      <c r="AB61" s="226"/>
      <c r="AC61" s="214"/>
      <c r="AD61" s="214"/>
      <c r="AE61" s="214"/>
    </row>
    <row r="62" spans="1:31" ht="15">
      <c r="A62" s="222">
        <v>46</v>
      </c>
      <c r="B62" s="405" t="s">
        <v>687</v>
      </c>
      <c r="C62" s="214">
        <v>15494.413739542557</v>
      </c>
      <c r="D62" s="214">
        <v>18258.238919757376</v>
      </c>
      <c r="E62" s="64">
        <f t="shared" si="5"/>
        <v>16876.326329649964</v>
      </c>
      <c r="F62" s="315" t="s">
        <v>43</v>
      </c>
      <c r="G62" s="315">
        <v>15</v>
      </c>
      <c r="H62" s="315">
        <v>16</v>
      </c>
      <c r="I62" s="222">
        <v>5</v>
      </c>
      <c r="J62" s="316">
        <v>120</v>
      </c>
      <c r="K62" s="316">
        <v>12</v>
      </c>
      <c r="L62" s="269">
        <v>2500</v>
      </c>
      <c r="M62" s="209">
        <v>0.85</v>
      </c>
      <c r="N62" s="209">
        <v>0.65</v>
      </c>
      <c r="O62" s="209">
        <v>0.000393</v>
      </c>
      <c r="P62" s="209">
        <v>1.8</v>
      </c>
      <c r="Q62" s="209">
        <v>0.6</v>
      </c>
      <c r="R62" s="209">
        <v>0.885</v>
      </c>
      <c r="S62" s="88">
        <f t="shared" si="6"/>
        <v>2337.482743108553</v>
      </c>
      <c r="T62" s="317">
        <f t="shared" si="7"/>
        <v>10.096419157320424</v>
      </c>
      <c r="U62" s="317">
        <f>((E62+S62)*(Rates!$E$5/1000))/(2*J62)</f>
        <v>0.480345226818963</v>
      </c>
      <c r="V62" s="424">
        <f>(E62*(Rates!$E$6/1000))/J62</f>
        <v>0</v>
      </c>
      <c r="W62" s="317">
        <f>((E62+S62)*(Rates!$E$4/100))/(2*J62)</f>
        <v>4.002876890158025</v>
      </c>
      <c r="X62" s="424">
        <f t="shared" si="8"/>
        <v>2.822209498822788</v>
      </c>
      <c r="Y62" s="318" t="str">
        <f>IF(F62="-","-",IF(I62="-",IF(F62=1,H62*Rates!$E$12*Rates!$E$7,IF(F62=2,H62*Rates!$E$13*Rates!$E$8,IF(F62=3,H62*Rates!$E$14*Rates!$E$9,"-"))),IF(F62=1,(E62/1000)*Rates!$E$12*Rates!$E$7,IF(F62=2,(E62/1000)*Rates!$E$13*Rates!$E$8,IF(F62=3,(E62/1000)*Rates!$E$14*Rates!$E$9,"-")))))</f>
        <v>-</v>
      </c>
      <c r="Z62" s="324" t="str">
        <f>IF(Y62="-","-",Y62*(Rates!$E$10/100))</f>
        <v>-</v>
      </c>
      <c r="AA62" s="317">
        <f t="shared" si="9"/>
        <v>0.576</v>
      </c>
      <c r="AB62" s="226"/>
      <c r="AC62" s="214"/>
      <c r="AD62" s="214"/>
      <c r="AE62" s="214"/>
    </row>
    <row r="63" spans="1:31" ht="15">
      <c r="A63" s="222">
        <v>46.1</v>
      </c>
      <c r="B63" s="405" t="s">
        <v>854</v>
      </c>
      <c r="C63" s="214">
        <v>18584.413739542546</v>
      </c>
      <c r="D63" s="214">
        <v>21258.2389197574</v>
      </c>
      <c r="E63" s="64">
        <f>IF(C63=0,D63,IF(D63=0,C63,AVERAGE(C63,D63)))</f>
        <v>19921.32632964997</v>
      </c>
      <c r="F63" s="315" t="s">
        <v>43</v>
      </c>
      <c r="G63" s="315">
        <v>16</v>
      </c>
      <c r="H63" s="315">
        <v>20</v>
      </c>
      <c r="I63" s="222">
        <v>5</v>
      </c>
      <c r="J63" s="316">
        <v>120</v>
      </c>
      <c r="K63" s="316">
        <v>12</v>
      </c>
      <c r="L63" s="269">
        <v>2500</v>
      </c>
      <c r="M63" s="209">
        <v>0.85</v>
      </c>
      <c r="N63" s="209">
        <v>0.65</v>
      </c>
      <c r="O63" s="209">
        <v>0.000393</v>
      </c>
      <c r="P63" s="209">
        <v>1.8</v>
      </c>
      <c r="Q63" s="209">
        <v>0.6</v>
      </c>
      <c r="R63" s="209">
        <v>0.885</v>
      </c>
      <c r="S63" s="88">
        <f>E63*Q63*(R63^K63)</f>
        <v>2759.2353694642434</v>
      </c>
      <c r="T63" s="317">
        <f>(E63-S63)/(J63*K63)</f>
        <v>11.918118722351199</v>
      </c>
      <c r="U63" s="317">
        <f>((E63+S63)*(Rates!$E$5/1000))/(2*J63)</f>
        <v>0.5670140424778555</v>
      </c>
      <c r="V63" s="424">
        <f>(E63*(Rates!$E$6/1000))/J63</f>
        <v>0</v>
      </c>
      <c r="W63" s="317">
        <f>((E63+S63)*(Rates!$E$4/100))/(2*J63)</f>
        <v>4.725117020648796</v>
      </c>
      <c r="X63" s="424">
        <f>((E63*N63)*(AA63^P63))/(J63*K63)</f>
        <v>3.331421501248771</v>
      </c>
      <c r="Y63" s="318" t="str">
        <f>IF(F63="-","-",IF(I63="-",IF(F63=1,H63*Rates!$E$12*Rates!$E$7,IF(F63=2,H63*Rates!$E$13*Rates!$E$8,IF(F63=3,H63*Rates!$E$14*Rates!$E$9,"-"))),IF(F63=1,(E63/1000)*Rates!$E$12*Rates!$E$7,IF(F63=2,(E63/1000)*Rates!$E$13*Rates!$E$8,IF(F63=3,(E63/1000)*Rates!$E$14*Rates!$E$9,"-")))))</f>
        <v>-</v>
      </c>
      <c r="Z63" s="324" t="str">
        <f>IF(Y63="-","-",Y63*(Rates!$E$10/100))</f>
        <v>-</v>
      </c>
      <c r="AA63" s="317">
        <f>(K63*J63)/L63</f>
        <v>0.576</v>
      </c>
      <c r="AB63" s="226"/>
      <c r="AC63" s="214"/>
      <c r="AD63" s="214"/>
      <c r="AE63" s="214"/>
    </row>
    <row r="64" spans="1:31" ht="15">
      <c r="A64" s="222">
        <v>47</v>
      </c>
      <c r="B64" s="405" t="s">
        <v>688</v>
      </c>
      <c r="C64" s="214">
        <v>2322.0294601903142</v>
      </c>
      <c r="D64" s="214">
        <v>2267.363003107125</v>
      </c>
      <c r="E64" s="64">
        <f t="shared" si="5"/>
        <v>2294.6962316487197</v>
      </c>
      <c r="F64" s="315" t="s">
        <v>43</v>
      </c>
      <c r="G64" s="315">
        <v>11</v>
      </c>
      <c r="H64" s="315">
        <v>12</v>
      </c>
      <c r="I64" s="222">
        <v>5</v>
      </c>
      <c r="J64" s="316">
        <v>80</v>
      </c>
      <c r="K64" s="316">
        <v>10</v>
      </c>
      <c r="L64" s="269">
        <v>1000</v>
      </c>
      <c r="M64" s="209">
        <v>0.9</v>
      </c>
      <c r="N64" s="209">
        <v>0.7</v>
      </c>
      <c r="O64" s="209">
        <v>0.000251</v>
      </c>
      <c r="P64" s="209">
        <v>1.8</v>
      </c>
      <c r="Q64" s="209">
        <v>0.6</v>
      </c>
      <c r="R64" s="209">
        <v>0.885</v>
      </c>
      <c r="S64" s="88">
        <f t="shared" si="6"/>
        <v>405.7973062667459</v>
      </c>
      <c r="T64" s="317">
        <f t="shared" si="7"/>
        <v>2.361123656727467</v>
      </c>
      <c r="U64" s="317">
        <f>((E64+S64)*(Rates!$E$5/1000))/(2*J64)</f>
        <v>0.10126850767182997</v>
      </c>
      <c r="V64" s="424">
        <f>(E64*(Rates!$E$6/1000))/J64</f>
        <v>0</v>
      </c>
      <c r="W64" s="317">
        <f>((E64+S64)*(Rates!$E$4/100))/(2*J64)</f>
        <v>0.8439042305985831</v>
      </c>
      <c r="X64" s="424">
        <f t="shared" si="8"/>
        <v>1.343678078956667</v>
      </c>
      <c r="Y64" s="318" t="str">
        <f>IF(F64="-","-",IF(I64="-",IF(F64=1,H64*Rates!$E$12*Rates!$E$7,IF(F64=2,H64*Rates!$E$13*Rates!$E$8,IF(F64=3,H64*Rates!$E$14*Rates!$E$9,"-"))),IF(F64=1,(E64/1000)*Rates!$E$12*Rates!$E$7,IF(F64=2,(E64/1000)*Rates!$E$13*Rates!$E$8,IF(F64=3,(E64/1000)*Rates!$E$14*Rates!$E$9,"-")))))</f>
        <v>-</v>
      </c>
      <c r="Z64" s="324" t="str">
        <f>IF(Y64="-","-",Y64*(Rates!$E$10/100))</f>
        <v>-</v>
      </c>
      <c r="AA64" s="317">
        <f t="shared" si="9"/>
        <v>0.8</v>
      </c>
      <c r="AB64" s="226"/>
      <c r="AC64" s="214"/>
      <c r="AD64" s="214"/>
      <c r="AE64" s="214"/>
    </row>
    <row r="65" spans="1:31" ht="15">
      <c r="A65" s="222">
        <v>48</v>
      </c>
      <c r="B65" s="405" t="s">
        <v>689</v>
      </c>
      <c r="C65" s="214">
        <v>3330.279094220319</v>
      </c>
      <c r="D65" s="214">
        <v>3251.875886035219</v>
      </c>
      <c r="E65" s="64">
        <f t="shared" si="5"/>
        <v>3291.077490127769</v>
      </c>
      <c r="F65" s="315" t="s">
        <v>43</v>
      </c>
      <c r="G65" s="315">
        <v>11</v>
      </c>
      <c r="H65" s="315">
        <v>16</v>
      </c>
      <c r="I65" s="222">
        <v>5</v>
      </c>
      <c r="J65" s="316">
        <v>90</v>
      </c>
      <c r="K65" s="316">
        <v>10</v>
      </c>
      <c r="L65" s="269">
        <v>1000</v>
      </c>
      <c r="M65" s="209">
        <v>0.9</v>
      </c>
      <c r="N65" s="209">
        <v>0.7</v>
      </c>
      <c r="O65" s="209">
        <v>0.000251</v>
      </c>
      <c r="P65" s="209">
        <v>1.8</v>
      </c>
      <c r="Q65" s="209">
        <v>0.6</v>
      </c>
      <c r="R65" s="209">
        <v>0.885</v>
      </c>
      <c r="S65" s="88">
        <f t="shared" si="6"/>
        <v>581.9987681983592</v>
      </c>
      <c r="T65" s="317">
        <f t="shared" si="7"/>
        <v>3.0100874688104553</v>
      </c>
      <c r="U65" s="317">
        <f>((E65+S65)*(Rates!$E$5/1000))/(2*J65)</f>
        <v>0.12910254194420429</v>
      </c>
      <c r="V65" s="424">
        <f>(E65*(Rates!$E$6/1000))/J65</f>
        <v>0</v>
      </c>
      <c r="W65" s="317">
        <f>((E65+S65)*(Rates!$E$4/100))/(2*J65)</f>
        <v>1.0758545162017024</v>
      </c>
      <c r="X65" s="424">
        <f t="shared" si="8"/>
        <v>2.1175328463819807</v>
      </c>
      <c r="Y65" s="318" t="str">
        <f>IF(F65="-","-",IF(I65="-",IF(F65=1,H65*Rates!$E$12*Rates!$E$7,IF(F65=2,H65*Rates!$E$13*Rates!$E$8,IF(F65=3,H65*Rates!$E$14*Rates!$E$9,"-"))),IF(F65=1,(E65/1000)*Rates!$E$12*Rates!$E$7,IF(F65=2,(E65/1000)*Rates!$E$13*Rates!$E$8,IF(F65=3,(E65/1000)*Rates!$E$14*Rates!$E$9,"-")))))</f>
        <v>-</v>
      </c>
      <c r="Z65" s="324" t="str">
        <f>IF(Y65="-","-",Y65*(Rates!$E$10/100))</f>
        <v>-</v>
      </c>
      <c r="AA65" s="317">
        <f t="shared" si="9"/>
        <v>0.9</v>
      </c>
      <c r="AB65" s="226"/>
      <c r="AC65" s="214"/>
      <c r="AD65" s="214"/>
      <c r="AE65" s="214"/>
    </row>
    <row r="66" spans="1:31" ht="15">
      <c r="A66" s="222">
        <v>49</v>
      </c>
      <c r="B66" s="405" t="s">
        <v>855</v>
      </c>
      <c r="C66" s="214">
        <v>10760.773366829322</v>
      </c>
      <c r="D66" s="214">
        <v>10507.43749597802</v>
      </c>
      <c r="E66" s="64">
        <f t="shared" si="5"/>
        <v>10634.10543140367</v>
      </c>
      <c r="F66" s="315" t="s">
        <v>43</v>
      </c>
      <c r="G66" s="315">
        <v>12</v>
      </c>
      <c r="H66" s="315">
        <v>16</v>
      </c>
      <c r="I66" s="222">
        <v>4.5</v>
      </c>
      <c r="J66" s="328">
        <v>100</v>
      </c>
      <c r="K66" s="328">
        <v>12</v>
      </c>
      <c r="L66" s="269">
        <v>1440</v>
      </c>
      <c r="M66" s="329">
        <v>0.75</v>
      </c>
      <c r="N66" s="329">
        <v>0.8</v>
      </c>
      <c r="O66" s="329">
        <v>0.000631</v>
      </c>
      <c r="P66" s="329">
        <v>1.6</v>
      </c>
      <c r="Q66" s="329">
        <v>0.6</v>
      </c>
      <c r="R66" s="329">
        <v>0.885</v>
      </c>
      <c r="S66" s="88">
        <f t="shared" si="6"/>
        <v>1472.8938898646302</v>
      </c>
      <c r="T66" s="317">
        <f t="shared" si="7"/>
        <v>7.634342951282533</v>
      </c>
      <c r="U66" s="317">
        <f>((E66+S66)*(Rates!$E$5/1000))/(2*J66)</f>
        <v>0.363209979638049</v>
      </c>
      <c r="V66" s="424">
        <f>(E66*(Rates!$E$6/1000))/J66</f>
        <v>0</v>
      </c>
      <c r="W66" s="317">
        <f>((E66+S66)*(Rates!$E$4/100))/(2*J66)</f>
        <v>3.0267498303170752</v>
      </c>
      <c r="X66" s="424">
        <f t="shared" si="8"/>
        <v>5.295655305049263</v>
      </c>
      <c r="Y66" s="318" t="str">
        <f>IF(F66="-","-",IF(I66="-",IF(F66=1,H66*Rates!$E$12*Rates!$E$7,IF(F66=2,H66*Rates!$E$13*Rates!$E$8,IF(F66=3,H66*Rates!$E$14*Rates!$E$9,"-"))),IF(F66=1,(E66/1000)*Rates!$E$12*Rates!$E$7,IF(F66=2,(E66/1000)*Rates!$E$13*Rates!$E$8,IF(F66=3,(E66/1000)*Rates!$E$14*Rates!$E$9,"-")))))</f>
        <v>-</v>
      </c>
      <c r="Z66" s="324" t="str">
        <f>IF(Y66="-","-",Y66*(Rates!$E$10/100))</f>
        <v>-</v>
      </c>
      <c r="AA66" s="317">
        <f t="shared" si="9"/>
        <v>0.8333333333333334</v>
      </c>
      <c r="AB66" s="226"/>
      <c r="AC66" s="214"/>
      <c r="AD66" s="214"/>
      <c r="AE66" s="214"/>
    </row>
    <row r="67" spans="1:31" ht="15">
      <c r="A67" s="222">
        <v>49.1</v>
      </c>
      <c r="B67" s="405" t="s">
        <v>856</v>
      </c>
      <c r="C67" s="214">
        <v>10300</v>
      </c>
      <c r="D67" s="214">
        <v>14325</v>
      </c>
      <c r="E67" s="64">
        <f>IF(C67=0,D67,IF(D67=0,C67,AVERAGE(C67,D67)))</f>
        <v>12312.5</v>
      </c>
      <c r="F67" s="315" t="s">
        <v>43</v>
      </c>
      <c r="G67" s="315">
        <v>13</v>
      </c>
      <c r="H67" s="315">
        <v>20</v>
      </c>
      <c r="I67" s="222">
        <v>4.5</v>
      </c>
      <c r="J67" s="328">
        <v>100</v>
      </c>
      <c r="K67" s="328">
        <v>12</v>
      </c>
      <c r="L67" s="269">
        <v>1440</v>
      </c>
      <c r="M67" s="329">
        <v>0.75</v>
      </c>
      <c r="N67" s="329">
        <v>0.8</v>
      </c>
      <c r="O67" s="329">
        <v>0.000631</v>
      </c>
      <c r="P67" s="329">
        <v>1.6</v>
      </c>
      <c r="Q67" s="329">
        <v>0.6</v>
      </c>
      <c r="R67" s="329">
        <v>0.885</v>
      </c>
      <c r="S67" s="88">
        <f>E67*Q67*(R67^K67)</f>
        <v>1705.3626312001397</v>
      </c>
      <c r="T67" s="317">
        <f>(E67-S67)/(J67*K67)</f>
        <v>8.83928114066655</v>
      </c>
      <c r="U67" s="317">
        <f>((E67+S67)*(Rates!$E$5/1000))/(2*J67)</f>
        <v>0.42053587893600425</v>
      </c>
      <c r="V67" s="424">
        <f>(E67*(Rates!$E$6/1000))/J67</f>
        <v>0</v>
      </c>
      <c r="W67" s="317">
        <f>((E67+S67)*(Rates!$E$4/100))/(2*J67)</f>
        <v>3.5044656578000355</v>
      </c>
      <c r="X67" s="424">
        <f>((E67*N67)*(AA67^P67))/(J67*K67)</f>
        <v>6.131475408440866</v>
      </c>
      <c r="Y67" s="318" t="str">
        <f>IF(F67="-","-",IF(I67="-",IF(F67=1,H67*Rates!$E$12*Rates!$E$7,IF(F67=2,H67*Rates!$E$13*Rates!$E$8,IF(F67=3,H67*Rates!$E$14*Rates!$E$9,"-"))),IF(F67=1,(E67/1000)*Rates!$E$12*Rates!$E$7,IF(F67=2,(E67/1000)*Rates!$E$13*Rates!$E$8,IF(F67=3,(E67/1000)*Rates!$E$14*Rates!$E$9,"-")))))</f>
        <v>-</v>
      </c>
      <c r="Z67" s="324" t="str">
        <f>IF(Y67="-","-",Y67*(Rates!$E$10/100))</f>
        <v>-</v>
      </c>
      <c r="AA67" s="317">
        <f>(K67*J67)/L67</f>
        <v>0.8333333333333334</v>
      </c>
      <c r="AB67" s="226"/>
      <c r="AC67" s="214"/>
      <c r="AD67" s="214"/>
      <c r="AE67" s="214"/>
    </row>
    <row r="68" spans="1:31" ht="15">
      <c r="A68" s="222">
        <v>50</v>
      </c>
      <c r="B68" s="405" t="s">
        <v>690</v>
      </c>
      <c r="C68" s="214">
        <v>1625.4206221332201</v>
      </c>
      <c r="D68" s="214">
        <v>1587.1541021749877</v>
      </c>
      <c r="E68" s="64">
        <f aca="true" t="shared" si="10" ref="E68:E131">IF(C68=0,D68,IF(D68=0,C68,AVERAGE(C68,D68)))</f>
        <v>1606.287362154104</v>
      </c>
      <c r="F68" s="315" t="s">
        <v>43</v>
      </c>
      <c r="G68" s="315">
        <v>11</v>
      </c>
      <c r="H68" s="315">
        <v>6</v>
      </c>
      <c r="I68" s="222">
        <v>3.5</v>
      </c>
      <c r="J68" s="316">
        <v>50</v>
      </c>
      <c r="K68" s="316">
        <v>10</v>
      </c>
      <c r="L68" s="269">
        <v>2000</v>
      </c>
      <c r="M68" s="209">
        <v>0.67</v>
      </c>
      <c r="N68" s="209">
        <v>0.8</v>
      </c>
      <c r="O68" s="209">
        <v>0.00251</v>
      </c>
      <c r="P68" s="209">
        <v>1.3</v>
      </c>
      <c r="Q68" s="209">
        <v>0.6</v>
      </c>
      <c r="R68" s="209">
        <v>0.885</v>
      </c>
      <c r="S68" s="88">
        <f t="shared" si="6"/>
        <v>284.0581143867221</v>
      </c>
      <c r="T68" s="317">
        <f t="shared" si="7"/>
        <v>2.6444584955347636</v>
      </c>
      <c r="U68" s="317">
        <f>((E68+S68)*(Rates!$E$5/1000))/(2*J68)</f>
        <v>0.11342072859244956</v>
      </c>
      <c r="V68" s="424">
        <f>(E68*(Rates!$E$6/1000))/J68</f>
        <v>0</v>
      </c>
      <c r="W68" s="317">
        <f>((E68+S68)*(Rates!$E$4/100))/(2*J68)</f>
        <v>0.945172738270413</v>
      </c>
      <c r="X68" s="424">
        <f t="shared" si="8"/>
        <v>0.4239017762673731</v>
      </c>
      <c r="Y68" s="318" t="str">
        <f>IF(F68="-","-",IF(I68="-",IF(F68=1,H68*Rates!$E$12*Rates!$E$7,IF(F68=2,H68*Rates!$E$13*Rates!$E$8,IF(F68=3,H68*Rates!$E$14*Rates!$E$9,"-"))),IF(F68=1,(E68/1000)*Rates!$E$12*Rates!$E$7,IF(F68=2,(E68/1000)*Rates!$E$13*Rates!$E$8,IF(F68=3,(E68/1000)*Rates!$E$14*Rates!$E$9,"-")))))</f>
        <v>-</v>
      </c>
      <c r="Z68" s="324" t="str">
        <f>IF(Y68="-","-",Y68*(Rates!$E$10/100))</f>
        <v>-</v>
      </c>
      <c r="AA68" s="317">
        <f t="shared" si="9"/>
        <v>0.25</v>
      </c>
      <c r="AB68" s="226"/>
      <c r="AC68" s="214"/>
      <c r="AD68" s="214"/>
      <c r="AE68" s="214"/>
    </row>
    <row r="69" spans="1:31" ht="15">
      <c r="A69" s="222">
        <v>51</v>
      </c>
      <c r="B69" s="223" t="s">
        <v>691</v>
      </c>
      <c r="C69" s="214">
        <v>13198.904300029153</v>
      </c>
      <c r="D69" s="214">
        <v>23276.032580528343</v>
      </c>
      <c r="E69" s="64">
        <f t="shared" si="10"/>
        <v>18237.468440278746</v>
      </c>
      <c r="F69" s="315" t="s">
        <v>43</v>
      </c>
      <c r="G69" s="315">
        <v>10</v>
      </c>
      <c r="H69" s="315">
        <v>7</v>
      </c>
      <c r="I69" s="222">
        <v>4.3</v>
      </c>
      <c r="J69" s="316">
        <v>100</v>
      </c>
      <c r="K69" s="316">
        <v>10</v>
      </c>
      <c r="L69" s="269">
        <v>2000</v>
      </c>
      <c r="M69" s="209">
        <v>0.77</v>
      </c>
      <c r="N69" s="209">
        <v>1</v>
      </c>
      <c r="O69" s="209">
        <v>0.00251</v>
      </c>
      <c r="P69" s="209">
        <v>1.3</v>
      </c>
      <c r="Q69" s="209">
        <v>0.56</v>
      </c>
      <c r="R69" s="209">
        <v>0.885</v>
      </c>
      <c r="S69" s="88">
        <f t="shared" si="6"/>
        <v>3010.130244333496</v>
      </c>
      <c r="T69" s="317">
        <f t="shared" si="7"/>
        <v>15.227338195945249</v>
      </c>
      <c r="U69" s="317">
        <f>((E69+S69)*(Rates!$E$5/1000))/(2*J69)</f>
        <v>0.6374279605383674</v>
      </c>
      <c r="V69" s="424">
        <f>(E69*(Rates!$E$6/1000))/J69</f>
        <v>0</v>
      </c>
      <c r="W69" s="317">
        <f>((E69+S69)*(Rates!$E$4/100))/(2*J69)</f>
        <v>5.311899671153061</v>
      </c>
      <c r="X69" s="424">
        <f t="shared" si="8"/>
        <v>7.406713722043813</v>
      </c>
      <c r="Y69" s="318" t="str">
        <f>IF(F69="-","-",IF(I69="-",IF(F69=1,H69*Rates!$E$12*Rates!$E$7,IF(F69=2,H69*Rates!$E$13*Rates!$E$8,IF(F69=3,H69*Rates!$E$14*Rates!$E$9,"-"))),IF(F69=1,(E69/1000)*Rates!$E$12*Rates!$E$7,IF(F69=2,(E69/1000)*Rates!$E$13*Rates!$E$8,IF(F69=3,(E69/1000)*Rates!$E$14*Rates!$E$9,"-")))))</f>
        <v>-</v>
      </c>
      <c r="Z69" s="324" t="str">
        <f>IF(Y69="-","-",Y69*(Rates!$E$10/100))</f>
        <v>-</v>
      </c>
      <c r="AA69" s="317">
        <f t="shared" si="9"/>
        <v>0.5</v>
      </c>
      <c r="AB69" s="226"/>
      <c r="AC69" s="214"/>
      <c r="AD69" s="214"/>
      <c r="AE69" s="214"/>
    </row>
    <row r="70" spans="1:31" ht="15">
      <c r="A70" s="222">
        <v>52</v>
      </c>
      <c r="B70" s="223" t="s">
        <v>692</v>
      </c>
      <c r="C70" s="214">
        <v>6110.603842606089</v>
      </c>
      <c r="D70" s="214">
        <v>5966.744745018751</v>
      </c>
      <c r="E70" s="64">
        <f t="shared" si="10"/>
        <v>6038.67429381242</v>
      </c>
      <c r="F70" s="315" t="s">
        <v>43</v>
      </c>
      <c r="G70" s="315">
        <v>10</v>
      </c>
      <c r="H70" s="315">
        <v>5</v>
      </c>
      <c r="I70" s="222">
        <v>4.2</v>
      </c>
      <c r="J70" s="316">
        <v>50</v>
      </c>
      <c r="K70" s="316">
        <v>10</v>
      </c>
      <c r="L70" s="269">
        <v>1000</v>
      </c>
      <c r="M70" s="209">
        <v>0.75</v>
      </c>
      <c r="N70" s="209">
        <v>2</v>
      </c>
      <c r="O70" s="209">
        <v>0.00393</v>
      </c>
      <c r="P70" s="209">
        <v>1.3</v>
      </c>
      <c r="Q70" s="209">
        <v>0.6</v>
      </c>
      <c r="R70" s="209">
        <v>0.885</v>
      </c>
      <c r="S70" s="88">
        <f>E70*Q70*(R70^K70)</f>
        <v>1067.8876480703839</v>
      </c>
      <c r="T70" s="317">
        <f>(E70-S70)/(J70*K70)</f>
        <v>9.941573291484072</v>
      </c>
      <c r="U70" s="317">
        <f>((E70+S70)*(Rates!$E$5/1000))/(2*J70)</f>
        <v>0.4263937165129682</v>
      </c>
      <c r="V70" s="424">
        <f>(E70*(Rates!$E$6/1000))/J70</f>
        <v>0</v>
      </c>
      <c r="W70" s="317">
        <f>((E70+S70)*(Rates!$E$4/100))/(2*J70)</f>
        <v>3.5532809709414024</v>
      </c>
      <c r="X70" s="424">
        <f>((E70*N70)*(AA70^P70))/(J70*K70)</f>
        <v>9.809855331927873</v>
      </c>
      <c r="Y70" s="318" t="str">
        <f>IF(F70="-","-",IF(I70="-",IF(F70=1,H70*Rates!$E$12*Rates!$E$7,IF(F70=2,H70*Rates!$E$13*Rates!$E$8,IF(F70=3,H70*Rates!$E$14*Rates!$E$9,"-"))),IF(F70=1,(E70/1000)*Rates!$E$12*Rates!$E$7,IF(F70=2,(E70/1000)*Rates!$E$13*Rates!$E$8,IF(F70=3,(E70/1000)*Rates!$E$14*Rates!$E$9,"-")))))</f>
        <v>-</v>
      </c>
      <c r="Z70" s="324" t="str">
        <f>IF(Y70="-","-",Y70*(Rates!$E$10/100))</f>
        <v>-</v>
      </c>
      <c r="AA70" s="317">
        <f t="shared" si="9"/>
        <v>0.5</v>
      </c>
      <c r="AB70" s="226"/>
      <c r="AC70" s="214"/>
      <c r="AD70" s="214"/>
      <c r="AE70" s="214"/>
    </row>
    <row r="71" spans="1:31" ht="15">
      <c r="A71" s="222">
        <v>53</v>
      </c>
      <c r="B71" s="405" t="s">
        <v>693</v>
      </c>
      <c r="C71" s="214">
        <v>4943.478508668328</v>
      </c>
      <c r="D71" s="214">
        <v>4827.096498720169</v>
      </c>
      <c r="E71" s="64">
        <f t="shared" si="10"/>
        <v>4885.287503694248</v>
      </c>
      <c r="F71" s="315" t="s">
        <v>43</v>
      </c>
      <c r="G71" s="315">
        <v>10</v>
      </c>
      <c r="H71" s="315">
        <v>5</v>
      </c>
      <c r="I71" s="222">
        <v>4.2</v>
      </c>
      <c r="J71" s="316">
        <v>50</v>
      </c>
      <c r="K71" s="316">
        <v>10</v>
      </c>
      <c r="L71" s="269">
        <v>1000</v>
      </c>
      <c r="M71" s="209">
        <v>0.75</v>
      </c>
      <c r="N71" s="209">
        <v>2</v>
      </c>
      <c r="O71" s="209">
        <v>0.00393</v>
      </c>
      <c r="P71" s="209">
        <v>1.3</v>
      </c>
      <c r="Q71" s="209">
        <v>0.6</v>
      </c>
      <c r="R71" s="209">
        <v>0.885</v>
      </c>
      <c r="S71" s="88">
        <f t="shared" si="6"/>
        <v>863.9211072889406</v>
      </c>
      <c r="T71" s="317">
        <f t="shared" si="7"/>
        <v>8.042732792810614</v>
      </c>
      <c r="U71" s="317">
        <f>((E71+S71)*(Rates!$E$5/1000))/(2*J71)</f>
        <v>0.34495251665899124</v>
      </c>
      <c r="V71" s="424">
        <f>(E71*(Rates!$E$6/1000))/J71</f>
        <v>0</v>
      </c>
      <c r="W71" s="317">
        <f>((E71+S71)*(Rates!$E$4/100))/(2*J71)</f>
        <v>2.874604305491594</v>
      </c>
      <c r="X71" s="424">
        <f t="shared" si="8"/>
        <v>7.936172963529649</v>
      </c>
      <c r="Y71" s="318" t="str">
        <f>IF(F71="-","-",IF(I71="-",IF(F71=1,H71*Rates!$E$12*Rates!$E$7,IF(F71=2,H71*Rates!$E$13*Rates!$E$8,IF(F71=3,H71*Rates!$E$14*Rates!$E$9,"-"))),IF(F71=1,(E71/1000)*Rates!$E$12*Rates!$E$7,IF(F71=2,(E71/1000)*Rates!$E$13*Rates!$E$8,IF(F71=3,(E71/1000)*Rates!$E$14*Rates!$E$9,"-")))))</f>
        <v>-</v>
      </c>
      <c r="Z71" s="324" t="str">
        <f>IF(Y71="-","-",Y71*(Rates!$E$10/100))</f>
        <v>-</v>
      </c>
      <c r="AA71" s="317">
        <f t="shared" si="9"/>
        <v>0.5</v>
      </c>
      <c r="AB71" s="226"/>
      <c r="AC71" s="214"/>
      <c r="AD71" s="214"/>
      <c r="AE71" s="214"/>
    </row>
    <row r="72" spans="1:31" ht="15">
      <c r="A72" s="222">
        <v>54</v>
      </c>
      <c r="B72" s="223" t="s">
        <v>694</v>
      </c>
      <c r="C72" s="214">
        <v>14298.812991698249</v>
      </c>
      <c r="D72" s="214">
        <v>16110.210811550627</v>
      </c>
      <c r="E72" s="64">
        <f t="shared" si="10"/>
        <v>15204.511901624439</v>
      </c>
      <c r="F72" s="315" t="s">
        <v>43</v>
      </c>
      <c r="G72" s="315">
        <v>12</v>
      </c>
      <c r="H72" s="315">
        <v>12</v>
      </c>
      <c r="I72" s="222">
        <v>4</v>
      </c>
      <c r="J72" s="328">
        <v>100</v>
      </c>
      <c r="K72" s="328">
        <v>13</v>
      </c>
      <c r="L72" s="328">
        <v>1200</v>
      </c>
      <c r="M72" s="439">
        <v>0.8</v>
      </c>
      <c r="N72" s="329">
        <v>0.8</v>
      </c>
      <c r="O72" s="439">
        <v>6.3E-05</v>
      </c>
      <c r="P72" s="439">
        <v>2.1</v>
      </c>
      <c r="Q72" s="329">
        <v>0.6</v>
      </c>
      <c r="R72" s="329">
        <v>0.885</v>
      </c>
      <c r="S72" s="88">
        <f t="shared" si="6"/>
        <v>1863.7439743400007</v>
      </c>
      <c r="T72" s="317">
        <f t="shared" si="7"/>
        <v>10.262129174834183</v>
      </c>
      <c r="U72" s="317">
        <f>((E72+S72)*(Rates!$E$5/1000))/(2*J72)</f>
        <v>0.5120476762789332</v>
      </c>
      <c r="V72" s="424">
        <f>(E72*(Rates!$E$6/1000))/J72</f>
        <v>0</v>
      </c>
      <c r="W72" s="317">
        <f>((E72+S72)*(Rates!$E$4/100))/(2*J72)</f>
        <v>4.26706396899111</v>
      </c>
      <c r="X72" s="424">
        <f t="shared" si="8"/>
        <v>11.06928427070902</v>
      </c>
      <c r="Y72" s="318" t="str">
        <f>IF(F72="-","-",IF(I72="-",IF(F72=1,H72*Rates!$E$12*Rates!$E$7,IF(F72=2,H72*Rates!$E$13*Rates!$E$8,IF(F72=3,H72*Rates!$E$14*Rates!$E$9,"-"))),IF(F72=1,(E72/1000)*Rates!$E$12*Rates!$E$7,IF(F72=2,(E72/1000)*Rates!$E$13*Rates!$E$8,IF(F72=3,(E72/1000)*Rates!$E$14*Rates!$E$9,"-")))))</f>
        <v>-</v>
      </c>
      <c r="Z72" s="324" t="str">
        <f>IF(Y72="-","-",Y72*(Rates!$E$10/100))</f>
        <v>-</v>
      </c>
      <c r="AA72" s="317">
        <f t="shared" si="9"/>
        <v>1.0833333333333333</v>
      </c>
      <c r="AB72" s="226"/>
      <c r="AC72" s="214"/>
      <c r="AD72" s="214"/>
      <c r="AE72" s="214"/>
    </row>
    <row r="73" spans="1:31" ht="15">
      <c r="A73" s="222">
        <v>55</v>
      </c>
      <c r="B73" s="223" t="s">
        <v>695</v>
      </c>
      <c r="C73" s="214">
        <v>17048.584720870993</v>
      </c>
      <c r="D73" s="214">
        <v>27924.365406687753</v>
      </c>
      <c r="E73" s="64">
        <f t="shared" si="10"/>
        <v>22486.475063779373</v>
      </c>
      <c r="F73" s="315" t="s">
        <v>43</v>
      </c>
      <c r="G73" s="315">
        <v>13</v>
      </c>
      <c r="H73" s="315">
        <v>16</v>
      </c>
      <c r="I73" s="222">
        <v>4.5</v>
      </c>
      <c r="J73" s="328">
        <v>75</v>
      </c>
      <c r="K73" s="328">
        <v>13</v>
      </c>
      <c r="L73" s="328">
        <v>1200</v>
      </c>
      <c r="M73" s="329">
        <v>0.8</v>
      </c>
      <c r="N73" s="329">
        <v>0.8</v>
      </c>
      <c r="O73" s="329">
        <v>6.3E-05</v>
      </c>
      <c r="P73" s="329">
        <v>2.1</v>
      </c>
      <c r="Q73" s="329">
        <v>0.6</v>
      </c>
      <c r="R73" s="329">
        <v>0.885</v>
      </c>
      <c r="S73" s="88">
        <f t="shared" si="6"/>
        <v>2756.355000109406</v>
      </c>
      <c r="T73" s="317">
        <f t="shared" si="7"/>
        <v>20.236020578123046</v>
      </c>
      <c r="U73" s="317">
        <f>((E73+S73)*(Rates!$E$5/1000))/(2*J73)</f>
        <v>1.009713202555551</v>
      </c>
      <c r="V73" s="424">
        <f>(E73*(Rates!$E$6/1000))/J73</f>
        <v>0</v>
      </c>
      <c r="W73" s="317">
        <f>((E73+S73)*(Rates!$E$4/100))/(2*J73)</f>
        <v>8.414276687962927</v>
      </c>
      <c r="X73" s="424">
        <f t="shared" si="8"/>
        <v>11.929873241104879</v>
      </c>
      <c r="Y73" s="318" t="str">
        <f>IF(F73="-","-",IF(I73="-",IF(F73=1,H73*Rates!$E$12*Rates!$E$7,IF(F73=2,H73*Rates!$E$13*Rates!$E$8,IF(F73=3,H73*Rates!$E$14*Rates!$E$9,"-"))),IF(F73=1,(E73/1000)*Rates!$E$12*Rates!$E$7,IF(F73=2,(E73/1000)*Rates!$E$13*Rates!$E$8,IF(F73=3,(E73/1000)*Rates!$E$14*Rates!$E$9,"-")))))</f>
        <v>-</v>
      </c>
      <c r="Z73" s="324" t="str">
        <f>IF(Y73="-","-",Y73*(Rates!$E$10/100))</f>
        <v>-</v>
      </c>
      <c r="AA73" s="317">
        <f t="shared" si="9"/>
        <v>0.8125</v>
      </c>
      <c r="AB73" s="226"/>
      <c r="AC73" s="214"/>
      <c r="AD73" s="214"/>
      <c r="AE73" s="214"/>
    </row>
    <row r="74" spans="1:31" ht="15">
      <c r="A74" s="222">
        <v>56</v>
      </c>
      <c r="B74" s="223" t="s">
        <v>696</v>
      </c>
      <c r="C74" s="214">
        <v>2749.77172917274</v>
      </c>
      <c r="D74" s="214">
        <v>1772.1231892705687</v>
      </c>
      <c r="E74" s="64">
        <f t="shared" si="10"/>
        <v>2260.9474592216543</v>
      </c>
      <c r="F74" s="315" t="s">
        <v>43</v>
      </c>
      <c r="G74" s="315">
        <v>10</v>
      </c>
      <c r="H74" s="315">
        <v>20</v>
      </c>
      <c r="I74" s="222">
        <v>4</v>
      </c>
      <c r="J74" s="316">
        <v>50</v>
      </c>
      <c r="K74" s="316">
        <v>15</v>
      </c>
      <c r="L74" s="269">
        <v>1200</v>
      </c>
      <c r="M74" s="209">
        <v>0.6</v>
      </c>
      <c r="N74" s="209">
        <v>0.7</v>
      </c>
      <c r="O74" s="209">
        <v>0.000251</v>
      </c>
      <c r="P74" s="209">
        <v>1.8</v>
      </c>
      <c r="Q74" s="209">
        <v>0.6</v>
      </c>
      <c r="R74" s="209">
        <v>0.885</v>
      </c>
      <c r="S74" s="88">
        <f>E74*Q74*(R74^K74)</f>
        <v>217.0654890308523</v>
      </c>
      <c r="T74" s="317">
        <f>(E74-S74)/(J74*K74)</f>
        <v>2.7251759602544023</v>
      </c>
      <c r="U74" s="317">
        <f>((E74+S74)*(Rates!$E$5/1000))/(2*J74)</f>
        <v>0.1486807768951504</v>
      </c>
      <c r="V74" s="424">
        <f>(E74*(Rates!$E$6/1000))/J74</f>
        <v>0</v>
      </c>
      <c r="W74" s="317">
        <f>((E74+S74)*(Rates!$E$4/100))/(2*J74)</f>
        <v>1.2390064741262534</v>
      </c>
      <c r="X74" s="424">
        <f>((E74*N74)*(AA74^P74))/(J74*K74)</f>
        <v>0.9055475877252026</v>
      </c>
      <c r="Y74" s="318" t="str">
        <f>IF(F74="-","-",IF(I74="-",IF(F74=1,H74*Rates!$E$12*Rates!$E$7,IF(F74=2,H74*Rates!$E$13*Rates!$E$8,IF(F74=3,H74*Rates!$E$14*Rates!$E$9,"-"))),IF(F74=1,(E74/1000)*Rates!$E$12*Rates!$E$7,IF(F74=2,(E74/1000)*Rates!$E$13*Rates!$E$8,IF(F74=3,(E74/1000)*Rates!$E$14*Rates!$E$9,"-")))))</f>
        <v>-</v>
      </c>
      <c r="Z74" s="324" t="str">
        <f>IF(Y74="-","-",Y74*(Rates!$E$10/100))</f>
        <v>-</v>
      </c>
      <c r="AA74" s="317">
        <f t="shared" si="9"/>
        <v>0.625</v>
      </c>
      <c r="AB74" s="226"/>
      <c r="AC74" s="214"/>
      <c r="AD74" s="214"/>
      <c r="AE74" s="214"/>
    </row>
    <row r="75" spans="1:31" ht="15">
      <c r="A75" s="222">
        <v>57</v>
      </c>
      <c r="B75" s="405" t="s">
        <v>697</v>
      </c>
      <c r="C75" s="214">
        <v>31914.461749163085</v>
      </c>
      <c r="D75" s="214">
        <v>31163.11445428393</v>
      </c>
      <c r="E75" s="64">
        <f t="shared" si="10"/>
        <v>31538.788101723505</v>
      </c>
      <c r="F75" s="315" t="s">
        <v>43</v>
      </c>
      <c r="G75" s="315">
        <v>12</v>
      </c>
      <c r="H75" s="315">
        <v>5</v>
      </c>
      <c r="I75" s="222">
        <v>2.5</v>
      </c>
      <c r="J75" s="316">
        <v>100</v>
      </c>
      <c r="K75" s="316">
        <v>10</v>
      </c>
      <c r="L75" s="269">
        <v>2000</v>
      </c>
      <c r="M75" s="209">
        <v>0.6</v>
      </c>
      <c r="N75" s="209">
        <v>0.8</v>
      </c>
      <c r="O75" s="209">
        <v>0.00159</v>
      </c>
      <c r="P75" s="209">
        <v>1.4</v>
      </c>
      <c r="Q75" s="209">
        <v>0.6</v>
      </c>
      <c r="R75" s="209">
        <v>0.885</v>
      </c>
      <c r="S75" s="88">
        <f t="shared" si="6"/>
        <v>5577.363608342001</v>
      </c>
      <c r="T75" s="317">
        <f t="shared" si="7"/>
        <v>25.961424493381507</v>
      </c>
      <c r="U75" s="317">
        <f>((E75+S75)*(Rates!$E$5/1000))/(2*J75)</f>
        <v>1.113484551301965</v>
      </c>
      <c r="V75" s="424">
        <f>(E75*(Rates!$E$6/1000))/J75</f>
        <v>0</v>
      </c>
      <c r="W75" s="317">
        <f>((E75+S75)*(Rates!$E$4/100))/(2*J75)</f>
        <v>9.279037927516377</v>
      </c>
      <c r="X75" s="424">
        <f t="shared" si="8"/>
        <v>9.560772722688672</v>
      </c>
      <c r="Y75" s="318" t="str">
        <f>IF(F75="-","-",IF(I75="-",IF(F75=1,H75*Rates!$E$12*Rates!$E$7,IF(F75=2,H75*Rates!$E$13*Rates!$E$8,IF(F75=3,H75*Rates!$E$14*Rates!$E$9,"-"))),IF(F75=1,(E75/1000)*Rates!$E$12*Rates!$E$7,IF(F75=2,(E75/1000)*Rates!$E$13*Rates!$E$8,IF(F75=3,(E75/1000)*Rates!$E$14*Rates!$E$9,"-")))))</f>
        <v>-</v>
      </c>
      <c r="Z75" s="324" t="str">
        <f>IF(Y75="-","-",Y75*(Rates!$E$10/100))</f>
        <v>-</v>
      </c>
      <c r="AA75" s="317">
        <f t="shared" si="9"/>
        <v>0.5</v>
      </c>
      <c r="AB75" s="226"/>
      <c r="AC75" s="214"/>
      <c r="AD75" s="214"/>
      <c r="AE75" s="214"/>
    </row>
    <row r="76" spans="1:31" ht="15">
      <c r="A76" s="222">
        <v>57.1</v>
      </c>
      <c r="B76" s="405" t="s">
        <v>698</v>
      </c>
      <c r="C76" s="214">
        <v>68438.76303718821</v>
      </c>
      <c r="D76" s="214">
        <v>67424.21561871188</v>
      </c>
      <c r="E76" s="64">
        <f>IF(C76=0,D76,IF(D76=0,C76,AVERAGE(C76,D76)))</f>
        <v>67931.48932795005</v>
      </c>
      <c r="F76" s="315" t="s">
        <v>43</v>
      </c>
      <c r="G76" s="315">
        <v>13</v>
      </c>
      <c r="H76" s="315">
        <v>10</v>
      </c>
      <c r="I76" s="222">
        <v>2.5</v>
      </c>
      <c r="J76" s="316">
        <v>100</v>
      </c>
      <c r="K76" s="316">
        <v>10</v>
      </c>
      <c r="L76" s="269">
        <v>2000</v>
      </c>
      <c r="M76" s="209">
        <v>0.6</v>
      </c>
      <c r="N76" s="209">
        <v>0.8</v>
      </c>
      <c r="O76" s="209">
        <v>0.00159</v>
      </c>
      <c r="P76" s="209">
        <v>1.4</v>
      </c>
      <c r="Q76" s="209">
        <v>0.6</v>
      </c>
      <c r="R76" s="209">
        <v>0.885</v>
      </c>
      <c r="S76" s="88">
        <f>E76*Q76*(R76^K76)</f>
        <v>12013.100034667374</v>
      </c>
      <c r="T76" s="317">
        <f>(E76-S76)/(J76*K76)</f>
        <v>55.91838929328268</v>
      </c>
      <c r="U76" s="317">
        <f>((E76+S76)*(Rates!$E$5/1000))/(2*J76)</f>
        <v>2.3983376808785226</v>
      </c>
      <c r="V76" s="424">
        <f>(E76*(Rates!$E$6/1000))/J76</f>
        <v>0</v>
      </c>
      <c r="W76" s="317">
        <f>((E76+S76)*(Rates!$E$4/100))/(2*J76)</f>
        <v>19.986147340654355</v>
      </c>
      <c r="X76" s="424">
        <f>((E76*N76)*(AA76^P76))/(J76*K76)</f>
        <v>20.59297675241964</v>
      </c>
      <c r="Y76" s="318" t="str">
        <f>IF(F76="-","-",IF(I76="-",IF(F76=1,H76*Rates!$E$12*Rates!$E$7,IF(F76=2,H76*Rates!$E$13*Rates!$E$8,IF(F76=3,H76*Rates!$E$14*Rates!$E$9,"-"))),IF(F76=1,(E76/1000)*Rates!$E$12*Rates!$E$7,IF(F76=2,(E76/1000)*Rates!$E$13*Rates!$E$8,IF(F76=3,(E76/1000)*Rates!$E$14*Rates!$E$9,"-")))))</f>
        <v>-</v>
      </c>
      <c r="Z76" s="324" t="str">
        <f>IF(Y76="-","-",Y76*(Rates!$E$10/100))</f>
        <v>-</v>
      </c>
      <c r="AA76" s="317">
        <f>(K76*J76)/L76</f>
        <v>0.5</v>
      </c>
      <c r="AB76" s="226"/>
      <c r="AC76" s="214"/>
      <c r="AD76" s="214"/>
      <c r="AE76" s="214"/>
    </row>
    <row r="77" spans="1:31" ht="15">
      <c r="A77" s="222">
        <v>58</v>
      </c>
      <c r="B77" s="405" t="s">
        <v>699</v>
      </c>
      <c r="C77" s="214">
        <v>12886.652443671985</v>
      </c>
      <c r="D77" s="214">
        <v>12583.267992770043</v>
      </c>
      <c r="E77" s="64">
        <f t="shared" si="10"/>
        <v>12734.960218221015</v>
      </c>
      <c r="F77" s="315" t="s">
        <v>43</v>
      </c>
      <c r="G77" s="315">
        <v>12</v>
      </c>
      <c r="H77" s="315">
        <v>12</v>
      </c>
      <c r="I77" s="222">
        <v>5</v>
      </c>
      <c r="J77" s="316">
        <v>75</v>
      </c>
      <c r="K77" s="316">
        <v>12</v>
      </c>
      <c r="L77" s="269">
        <v>1440</v>
      </c>
      <c r="M77" s="209">
        <v>0.67</v>
      </c>
      <c r="N77" s="209">
        <v>0.8</v>
      </c>
      <c r="O77" s="209">
        <v>0.000631</v>
      </c>
      <c r="P77" s="209">
        <v>1.6</v>
      </c>
      <c r="Q77" s="209">
        <v>0.6</v>
      </c>
      <c r="R77" s="209">
        <v>0.885</v>
      </c>
      <c r="S77" s="88">
        <f t="shared" si="6"/>
        <v>1763.8761637339692</v>
      </c>
      <c r="T77" s="317">
        <f t="shared" si="7"/>
        <v>12.190093393874495</v>
      </c>
      <c r="U77" s="317">
        <f>((E77+S77)*(Rates!$E$5/1000))/(2*J77)</f>
        <v>0.5799534552781993</v>
      </c>
      <c r="V77" s="424">
        <f>(E77*(Rates!$E$6/1000))/J77</f>
        <v>0</v>
      </c>
      <c r="W77" s="317">
        <f>((E77+S77)*(Rates!$E$4/100))/(2*J77)</f>
        <v>4.832945460651661</v>
      </c>
      <c r="X77" s="424">
        <f t="shared" si="8"/>
        <v>5.336458027474532</v>
      </c>
      <c r="Y77" s="318" t="str">
        <f>IF(F77="-","-",IF(I77="-",IF(F77=1,H77*Rates!$E$12*Rates!$E$7,IF(F77=2,H77*Rates!$E$13*Rates!$E$8,IF(F77=3,H77*Rates!$E$14*Rates!$E$9,"-"))),IF(F77=1,(E77/1000)*Rates!$E$12*Rates!$E$7,IF(F77=2,(E77/1000)*Rates!$E$13*Rates!$E$8,IF(F77=3,(E77/1000)*Rates!$E$14*Rates!$E$9,"-")))))</f>
        <v>-</v>
      </c>
      <c r="Z77" s="324" t="str">
        <f>IF(Y77="-","-",Y77*(Rates!$E$10/100))</f>
        <v>-</v>
      </c>
      <c r="AA77" s="317">
        <f t="shared" si="9"/>
        <v>0.625</v>
      </c>
      <c r="AB77" s="226"/>
      <c r="AC77" s="214"/>
      <c r="AD77" s="214"/>
      <c r="AE77" s="214"/>
    </row>
    <row r="78" spans="1:31" ht="15">
      <c r="A78" s="222">
        <v>59</v>
      </c>
      <c r="B78" s="223" t="s">
        <v>700</v>
      </c>
      <c r="C78" s="214">
        <v>13198.904300029153</v>
      </c>
      <c r="D78" s="214">
        <v>10310.534919392401</v>
      </c>
      <c r="E78" s="64">
        <f t="shared" si="10"/>
        <v>11754.719609710777</v>
      </c>
      <c r="F78" s="315" t="s">
        <v>43</v>
      </c>
      <c r="G78" s="315">
        <v>12</v>
      </c>
      <c r="H78" s="315">
        <v>14</v>
      </c>
      <c r="I78" s="222">
        <v>4.5</v>
      </c>
      <c r="J78" s="328">
        <v>100</v>
      </c>
      <c r="K78" s="328">
        <v>12</v>
      </c>
      <c r="L78" s="328">
        <v>2000</v>
      </c>
      <c r="M78" s="329">
        <v>0.67</v>
      </c>
      <c r="N78" s="329">
        <v>0.8</v>
      </c>
      <c r="O78" s="329">
        <v>0.000631</v>
      </c>
      <c r="P78" s="329">
        <v>1.6</v>
      </c>
      <c r="Q78" s="329">
        <v>0.6</v>
      </c>
      <c r="R78" s="329">
        <v>0.885</v>
      </c>
      <c r="S78" s="88">
        <f t="shared" si="6"/>
        <v>1628.1063604171575</v>
      </c>
      <c r="T78" s="317">
        <f t="shared" si="7"/>
        <v>8.43884437441135</v>
      </c>
      <c r="U78" s="317">
        <f>((E78+S78)*(Rates!$E$5/1000))/(2*J78)</f>
        <v>0.40148477910383806</v>
      </c>
      <c r="V78" s="424">
        <f>(E78*(Rates!$E$6/1000))/J78</f>
        <v>0</v>
      </c>
      <c r="W78" s="317">
        <f>((E78+S78)*(Rates!$E$4/100))/(2*J78)</f>
        <v>3.345706492531984</v>
      </c>
      <c r="X78" s="424">
        <f t="shared" si="8"/>
        <v>3.4606925317295265</v>
      </c>
      <c r="Y78" s="318" t="str">
        <f>IF(F78="-","-",IF(I78="-",IF(F78=1,H78*Rates!$E$12*Rates!$E$7,IF(F78=2,H78*Rates!$E$13*Rates!$E$8,IF(F78=3,H78*Rates!$E$14*Rates!$E$9,"-"))),IF(F78=1,(E78/1000)*Rates!$E$12*Rates!$E$7,IF(F78=2,(E78/1000)*Rates!$E$13*Rates!$E$8,IF(F78=3,(E78/1000)*Rates!$E$14*Rates!$E$9,"-")))))</f>
        <v>-</v>
      </c>
      <c r="Z78" s="324" t="str">
        <f>IF(Y78="-","-",Y78*(Rates!$E$10/100))</f>
        <v>-</v>
      </c>
      <c r="AA78" s="317">
        <f t="shared" si="9"/>
        <v>0.6</v>
      </c>
      <c r="AB78" s="226"/>
      <c r="AC78" s="214"/>
      <c r="AD78" s="214"/>
      <c r="AE78" s="214"/>
    </row>
    <row r="79" spans="1:31" ht="15">
      <c r="A79" s="222">
        <v>60</v>
      </c>
      <c r="B79" s="223" t="s">
        <v>701</v>
      </c>
      <c r="C79" s="214">
        <v>879.9269533352768</v>
      </c>
      <c r="D79" s="214">
        <v>1611.0210811550626</v>
      </c>
      <c r="E79" s="64">
        <f t="shared" si="10"/>
        <v>1245.4740172451698</v>
      </c>
      <c r="F79" s="315" t="s">
        <v>43</v>
      </c>
      <c r="G79" s="315">
        <v>10</v>
      </c>
      <c r="H79" s="315">
        <v>4</v>
      </c>
      <c r="I79" s="222">
        <v>2.5</v>
      </c>
      <c r="J79" s="328">
        <v>75</v>
      </c>
      <c r="K79" s="328">
        <v>10</v>
      </c>
      <c r="L79" s="328">
        <v>2000</v>
      </c>
      <c r="M79" s="329">
        <v>0.5</v>
      </c>
      <c r="N79" s="329">
        <v>0.75</v>
      </c>
      <c r="O79" s="329">
        <v>0.000251</v>
      </c>
      <c r="P79" s="329">
        <v>1.8</v>
      </c>
      <c r="Q79" s="329">
        <v>0.6</v>
      </c>
      <c r="R79" s="329">
        <v>0.885</v>
      </c>
      <c r="S79" s="88">
        <f t="shared" si="6"/>
        <v>220.25137543376695</v>
      </c>
      <c r="T79" s="317">
        <f t="shared" si="7"/>
        <v>1.3669635224152037</v>
      </c>
      <c r="U79" s="317">
        <f>((E79+S79)*(Rates!$E$5/1000))/(2*J79)</f>
        <v>0.05862901570715747</v>
      </c>
      <c r="V79" s="424">
        <f>(E79*(Rates!$E$6/1000))/J79</f>
        <v>0</v>
      </c>
      <c r="W79" s="317">
        <f>((E79+S79)*(Rates!$E$4/100))/(2*J79)</f>
        <v>0.48857513089297894</v>
      </c>
      <c r="X79" s="424">
        <f t="shared" si="8"/>
        <v>0.21310368211306263</v>
      </c>
      <c r="Y79" s="318" t="str">
        <f>IF(F79="-","-",IF(I79="-",IF(F79=1,H79*Rates!$E$12*Rates!$E$7,IF(F79=2,H79*Rates!$E$13*Rates!$E$8,IF(F79=3,H79*Rates!$E$14*Rates!$E$9,"-"))),IF(F79=1,(E79/1000)*Rates!$E$12*Rates!$E$7,IF(F79=2,(E79/1000)*Rates!$E$13*Rates!$E$8,IF(F79=3,(E79/1000)*Rates!$E$14*Rates!$E$9,"-")))))</f>
        <v>-</v>
      </c>
      <c r="Z79" s="324" t="str">
        <f>IF(Y79="-","-",Y79*(Rates!$E$10/100))</f>
        <v>-</v>
      </c>
      <c r="AA79" s="317">
        <f t="shared" si="9"/>
        <v>0.375</v>
      </c>
      <c r="AB79" s="226"/>
      <c r="AC79" s="214"/>
      <c r="AD79" s="214"/>
      <c r="AE79" s="214"/>
    </row>
    <row r="80" spans="1:31" ht="15">
      <c r="A80" s="222">
        <v>61</v>
      </c>
      <c r="B80" s="405" t="s">
        <v>702</v>
      </c>
      <c r="C80" s="214">
        <v>2749.77172917274</v>
      </c>
      <c r="D80" s="214">
        <v>1933.225297386075</v>
      </c>
      <c r="E80" s="64">
        <f t="shared" si="10"/>
        <v>2341.4985132794072</v>
      </c>
      <c r="F80" s="315" t="s">
        <v>43</v>
      </c>
      <c r="G80" s="315">
        <v>10</v>
      </c>
      <c r="H80" s="315">
        <v>6</v>
      </c>
      <c r="I80" s="222">
        <v>3.1</v>
      </c>
      <c r="J80" s="316">
        <v>75</v>
      </c>
      <c r="K80" s="316">
        <v>10</v>
      </c>
      <c r="L80" s="269">
        <v>2000</v>
      </c>
      <c r="M80" s="209">
        <v>0.5</v>
      </c>
      <c r="N80" s="209">
        <v>0.75</v>
      </c>
      <c r="O80" s="209">
        <v>0.000251</v>
      </c>
      <c r="P80" s="209">
        <v>1.8</v>
      </c>
      <c r="Q80" s="209">
        <v>0.6</v>
      </c>
      <c r="R80" s="209">
        <v>0.885</v>
      </c>
      <c r="S80" s="88">
        <f t="shared" si="6"/>
        <v>414.07388752004096</v>
      </c>
      <c r="T80" s="317">
        <f t="shared" si="7"/>
        <v>2.5698995010124883</v>
      </c>
      <c r="U80" s="317">
        <f>((E80+S80)*(Rates!$E$5/1000))/(2*J80)</f>
        <v>0.11022289603197793</v>
      </c>
      <c r="V80" s="424">
        <f>(E80*(Rates!$E$6/1000))/J80</f>
        <v>0</v>
      </c>
      <c r="W80" s="317">
        <f>((E80+S80)*(Rates!$E$4/100))/(2*J80)</f>
        <v>0.9185241335998161</v>
      </c>
      <c r="X80" s="424">
        <f t="shared" si="8"/>
        <v>0.40063618183363486</v>
      </c>
      <c r="Y80" s="318" t="str">
        <f>IF(F80="-","-",IF(I80="-",IF(F80=1,H80*Rates!$E$12*Rates!$E$7,IF(F80=2,H80*Rates!$E$13*Rates!$E$8,IF(F80=3,H80*Rates!$E$14*Rates!$E$9,"-"))),IF(F80=1,(E80/1000)*Rates!$E$12*Rates!$E$7,IF(F80=2,(E80/1000)*Rates!$E$13*Rates!$E$8,IF(F80=3,(E80/1000)*Rates!$E$14*Rates!$E$9,"-")))))</f>
        <v>-</v>
      </c>
      <c r="Z80" s="324" t="str">
        <f>IF(Y80="-","-",Y80*(Rates!$E$10/100))</f>
        <v>-</v>
      </c>
      <c r="AA80" s="317">
        <f t="shared" si="9"/>
        <v>0.375</v>
      </c>
      <c r="AB80" s="226"/>
      <c r="AC80" s="214"/>
      <c r="AD80" s="214"/>
      <c r="AE80" s="214"/>
    </row>
    <row r="81" spans="1:31" ht="15">
      <c r="A81" s="222">
        <v>62</v>
      </c>
      <c r="B81" s="223" t="s">
        <v>703</v>
      </c>
      <c r="C81" s="214">
        <v>9899.178225021868</v>
      </c>
      <c r="D81" s="214">
        <v>12888.168649240502</v>
      </c>
      <c r="E81" s="64">
        <f t="shared" si="10"/>
        <v>11393.673437131185</v>
      </c>
      <c r="F81" s="315" t="s">
        <v>43</v>
      </c>
      <c r="G81" s="315">
        <v>12</v>
      </c>
      <c r="H81" s="315">
        <v>14</v>
      </c>
      <c r="I81" s="222">
        <v>4.5</v>
      </c>
      <c r="J81" s="328">
        <v>100</v>
      </c>
      <c r="K81" s="328">
        <v>12</v>
      </c>
      <c r="L81" s="328">
        <v>2000</v>
      </c>
      <c r="M81" s="329">
        <v>0.67</v>
      </c>
      <c r="N81" s="329">
        <v>0.8</v>
      </c>
      <c r="O81" s="329">
        <v>0.000631</v>
      </c>
      <c r="P81" s="329">
        <v>1.6</v>
      </c>
      <c r="Q81" s="329">
        <v>0.6</v>
      </c>
      <c r="R81" s="329">
        <v>0.885</v>
      </c>
      <c r="S81" s="88">
        <f t="shared" si="6"/>
        <v>1578.0990791294357</v>
      </c>
      <c r="T81" s="317">
        <f t="shared" si="7"/>
        <v>8.179645298334792</v>
      </c>
      <c r="U81" s="317">
        <f>((E81+S81)*(Rates!$E$5/1000))/(2*J81)</f>
        <v>0.38915317548781864</v>
      </c>
      <c r="V81" s="424">
        <f>(E81*(Rates!$E$6/1000))/J81</f>
        <v>0</v>
      </c>
      <c r="W81" s="317">
        <f>((E81+S81)*(Rates!$E$4/100))/(2*J81)</f>
        <v>3.2429431290651554</v>
      </c>
      <c r="X81" s="424">
        <f t="shared" si="8"/>
        <v>3.3543973724623064</v>
      </c>
      <c r="Y81" s="318" t="str">
        <f>IF(F81="-","-",IF(I81="-",IF(F81=1,H81*Rates!$E$12*Rates!$E$7,IF(F81=2,H81*Rates!$E$13*Rates!$E$8,IF(F81=3,H81*Rates!$E$14*Rates!$E$9,"-"))),IF(F81=1,(E81/1000)*Rates!$E$12*Rates!$E$7,IF(F81=2,(E81/1000)*Rates!$E$13*Rates!$E$8,IF(F81=3,(E81/1000)*Rates!$E$14*Rates!$E$9,"-")))))</f>
        <v>-</v>
      </c>
      <c r="Z81" s="324" t="str">
        <f>IF(Y81="-","-",Y81*(Rates!$E$10/100))</f>
        <v>-</v>
      </c>
      <c r="AA81" s="317">
        <f t="shared" si="9"/>
        <v>0.6</v>
      </c>
      <c r="AB81" s="226"/>
      <c r="AC81" s="214"/>
      <c r="AD81" s="214"/>
      <c r="AE81" s="214"/>
    </row>
    <row r="82" spans="1:31" ht="15">
      <c r="A82" s="222">
        <v>63</v>
      </c>
      <c r="B82" s="223" t="s">
        <v>704</v>
      </c>
      <c r="C82" s="214">
        <v>12648.949954194606</v>
      </c>
      <c r="D82" s="214">
        <v>19332.252973860755</v>
      </c>
      <c r="E82" s="64">
        <f t="shared" si="10"/>
        <v>15990.60146402768</v>
      </c>
      <c r="F82" s="315" t="s">
        <v>43</v>
      </c>
      <c r="G82" s="315">
        <v>13</v>
      </c>
      <c r="H82" s="315">
        <v>16</v>
      </c>
      <c r="I82" s="222">
        <v>5</v>
      </c>
      <c r="J82" s="328">
        <v>100</v>
      </c>
      <c r="K82" s="328">
        <v>12</v>
      </c>
      <c r="L82" s="328">
        <v>2000</v>
      </c>
      <c r="M82" s="329">
        <v>0.67</v>
      </c>
      <c r="N82" s="329">
        <v>0.8</v>
      </c>
      <c r="O82" s="329">
        <v>0.000631</v>
      </c>
      <c r="P82" s="329">
        <v>1.6</v>
      </c>
      <c r="Q82" s="329">
        <v>0.6</v>
      </c>
      <c r="R82" s="329">
        <v>0.885</v>
      </c>
      <c r="S82" s="88">
        <f t="shared" si="6"/>
        <v>2214.8039948968167</v>
      </c>
      <c r="T82" s="317">
        <f t="shared" si="7"/>
        <v>11.47983122427572</v>
      </c>
      <c r="U82" s="317">
        <f>((E82+S82)*(Rates!$E$5/1000))/(2*J82)</f>
        <v>0.546162163767735</v>
      </c>
      <c r="V82" s="424">
        <f>(E82*(Rates!$E$6/1000))/J82</f>
        <v>0</v>
      </c>
      <c r="W82" s="317">
        <f>((E82+S82)*(Rates!$E$4/100))/(2*J82)</f>
        <v>4.551351364731125</v>
      </c>
      <c r="X82" s="424">
        <f t="shared" si="8"/>
        <v>4.707773294626926</v>
      </c>
      <c r="Y82" s="318" t="str">
        <f>IF(F82="-","-",IF(I82="-",IF(F82=1,H82*Rates!$E$12*Rates!$E$7,IF(F82=2,H82*Rates!$E$13*Rates!$E$8,IF(F82=3,H82*Rates!$E$14*Rates!$E$9,"-"))),IF(F82=1,(E82/1000)*Rates!$E$12*Rates!$E$7,IF(F82=2,(E82/1000)*Rates!$E$13*Rates!$E$8,IF(F82=3,(E82/1000)*Rates!$E$14*Rates!$E$9,"-")))))</f>
        <v>-</v>
      </c>
      <c r="Z82" s="324" t="str">
        <f>IF(Y82="-","-",Y82*(Rates!$E$10/100))</f>
        <v>-</v>
      </c>
      <c r="AA82" s="317">
        <f t="shared" si="9"/>
        <v>0.6</v>
      </c>
      <c r="AB82" s="226"/>
      <c r="AC82" s="214"/>
      <c r="AD82" s="214"/>
      <c r="AE82" s="214"/>
    </row>
    <row r="83" spans="1:31" ht="15">
      <c r="A83" s="222">
        <v>64</v>
      </c>
      <c r="B83" s="223" t="s">
        <v>705</v>
      </c>
      <c r="C83" s="214">
        <v>19854.451793318858</v>
      </c>
      <c r="D83" s="214">
        <v>26850.35135258437</v>
      </c>
      <c r="E83" s="64">
        <f t="shared" si="10"/>
        <v>23352.401572951614</v>
      </c>
      <c r="F83" s="315" t="s">
        <v>43</v>
      </c>
      <c r="G83" s="315">
        <v>14</v>
      </c>
      <c r="H83" s="315">
        <v>26</v>
      </c>
      <c r="I83" s="222">
        <v>5</v>
      </c>
      <c r="J83" s="328">
        <v>100</v>
      </c>
      <c r="K83" s="328">
        <v>12</v>
      </c>
      <c r="L83" s="328">
        <v>2000</v>
      </c>
      <c r="M83" s="439">
        <v>0.67</v>
      </c>
      <c r="N83" s="329">
        <v>0.8</v>
      </c>
      <c r="O83" s="439">
        <v>0.000631</v>
      </c>
      <c r="P83" s="439">
        <v>1.6</v>
      </c>
      <c r="Q83" s="329">
        <v>0.6</v>
      </c>
      <c r="R83" s="329">
        <v>0.885</v>
      </c>
      <c r="S83" s="88">
        <f t="shared" si="6"/>
        <v>3234.461968835821</v>
      </c>
      <c r="T83" s="317">
        <f t="shared" si="7"/>
        <v>16.764949670096495</v>
      </c>
      <c r="U83" s="317">
        <f>((E83+S83)*(Rates!$E$5/1000))/(2*J83)</f>
        <v>0.7976059062536232</v>
      </c>
      <c r="V83" s="424">
        <f>(E83*(Rates!$E$6/1000))/J83</f>
        <v>0</v>
      </c>
      <c r="W83" s="317">
        <f>((E83+S83)*(Rates!$E$4/100))/(2*J83)</f>
        <v>6.646715885446859</v>
      </c>
      <c r="X83" s="424">
        <f t="shared" si="8"/>
        <v>6.875151803255217</v>
      </c>
      <c r="Y83" s="318" t="str">
        <f>IF(F83="-","-",IF(I83="-",IF(F83=1,H83*Rates!$E$12*Rates!$E$7,IF(F83=2,H83*Rates!$E$13*Rates!$E$8,IF(F83=3,H83*Rates!$E$14*Rates!$E$9,"-"))),IF(F83=1,(E83/1000)*Rates!$E$12*Rates!$E$7,IF(F83=2,(E83/1000)*Rates!$E$13*Rates!$E$8,IF(F83=3,(E83/1000)*Rates!$E$14*Rates!$E$9,"-")))))</f>
        <v>-</v>
      </c>
      <c r="Z83" s="324" t="str">
        <f>IF(Y83="-","-",Y83*(Rates!$E$10/100))</f>
        <v>-</v>
      </c>
      <c r="AA83" s="317">
        <f t="shared" si="9"/>
        <v>0.6</v>
      </c>
      <c r="AB83" s="226"/>
      <c r="AC83" s="214"/>
      <c r="AD83" s="214"/>
      <c r="AE83" s="214"/>
    </row>
    <row r="84" spans="1:31" ht="15">
      <c r="A84" s="222">
        <v>65</v>
      </c>
      <c r="B84" s="223" t="s">
        <v>706</v>
      </c>
      <c r="C84" s="214">
        <v>13198.904300029153</v>
      </c>
      <c r="D84" s="214">
        <v>15949.108703435122</v>
      </c>
      <c r="E84" s="64">
        <f t="shared" si="10"/>
        <v>14574.006501732138</v>
      </c>
      <c r="F84" s="315" t="s">
        <v>43</v>
      </c>
      <c r="G84" s="315">
        <v>14</v>
      </c>
      <c r="H84" s="315">
        <v>14</v>
      </c>
      <c r="I84" s="222">
        <v>4.5</v>
      </c>
      <c r="J84" s="328">
        <v>100</v>
      </c>
      <c r="K84" s="328">
        <v>12</v>
      </c>
      <c r="L84" s="328">
        <v>1440</v>
      </c>
      <c r="M84" s="439">
        <v>0.75</v>
      </c>
      <c r="N84" s="329">
        <v>0.8</v>
      </c>
      <c r="O84" s="439">
        <v>0.000631</v>
      </c>
      <c r="P84" s="439">
        <v>1.6</v>
      </c>
      <c r="Q84" s="329">
        <v>0.6</v>
      </c>
      <c r="R84" s="329">
        <v>0.885</v>
      </c>
      <c r="S84" s="88">
        <f t="shared" si="6"/>
        <v>2018.5962294352782</v>
      </c>
      <c r="T84" s="317">
        <f t="shared" si="7"/>
        <v>10.462841893580716</v>
      </c>
      <c r="U84" s="317">
        <f>((E84+S84)*(Rates!$E$5/1000))/(2*J84)</f>
        <v>0.49777808193502243</v>
      </c>
      <c r="V84" s="424">
        <f>(E84*(Rates!$E$6/1000))/J84</f>
        <v>0</v>
      </c>
      <c r="W84" s="317">
        <f>((E84+S84)*(Rates!$E$4/100))/(2*J84)</f>
        <v>4.148150682791854</v>
      </c>
      <c r="X84" s="424">
        <f t="shared" si="8"/>
        <v>7.257678169975869</v>
      </c>
      <c r="Y84" s="318" t="str">
        <f>IF(F84="-","-",IF(I84="-",IF(F84=1,H84*Rates!$E$12*Rates!$E$7,IF(F84=2,H84*Rates!$E$13*Rates!$E$8,IF(F84=3,H84*Rates!$E$14*Rates!$E$9,"-"))),IF(F84=1,(E84/1000)*Rates!$E$12*Rates!$E$7,IF(F84=2,(E84/1000)*Rates!$E$13*Rates!$E$8,IF(F84=3,(E84/1000)*Rates!$E$14*Rates!$E$9,"-")))))</f>
        <v>-</v>
      </c>
      <c r="Z84" s="324" t="str">
        <f>IF(Y84="-","-",Y84*(Rates!$E$10/100))</f>
        <v>-</v>
      </c>
      <c r="AA84" s="317">
        <f t="shared" si="9"/>
        <v>0.8333333333333334</v>
      </c>
      <c r="AB84" s="226"/>
      <c r="AC84" s="214"/>
      <c r="AD84" s="214"/>
      <c r="AE84" s="214"/>
    </row>
    <row r="85" spans="1:31" ht="15">
      <c r="A85" s="222">
        <v>66</v>
      </c>
      <c r="B85" s="223" t="s">
        <v>707</v>
      </c>
      <c r="C85" s="214">
        <v>14848.7673375328</v>
      </c>
      <c r="D85" s="214">
        <v>21103.738937964376</v>
      </c>
      <c r="E85" s="64">
        <f t="shared" si="10"/>
        <v>17976.253137748587</v>
      </c>
      <c r="F85" s="315" t="s">
        <v>43</v>
      </c>
      <c r="G85" s="315">
        <v>15</v>
      </c>
      <c r="H85" s="315">
        <v>16</v>
      </c>
      <c r="I85" s="222">
        <v>5</v>
      </c>
      <c r="J85" s="328">
        <v>100</v>
      </c>
      <c r="K85" s="328">
        <v>12</v>
      </c>
      <c r="L85" s="328">
        <v>1440</v>
      </c>
      <c r="M85" s="329">
        <v>0.75</v>
      </c>
      <c r="N85" s="329">
        <v>0.8</v>
      </c>
      <c r="O85" s="329">
        <v>0.000631</v>
      </c>
      <c r="P85" s="329">
        <v>1.6</v>
      </c>
      <c r="Q85" s="329">
        <v>0.6</v>
      </c>
      <c r="R85" s="329">
        <v>0.885</v>
      </c>
      <c r="S85" s="88">
        <f t="shared" si="6"/>
        <v>2489.829876151123</v>
      </c>
      <c r="T85" s="317">
        <f t="shared" si="7"/>
        <v>12.905352717997886</v>
      </c>
      <c r="U85" s="317">
        <f>((E85+S85)*(Rates!$E$5/1000))/(2*J85)</f>
        <v>0.6139824904169913</v>
      </c>
      <c r="V85" s="424">
        <f>(E85*(Rates!$E$6/1000))/J85</f>
        <v>0</v>
      </c>
      <c r="W85" s="317">
        <f>((E85+S85)*(Rates!$E$4/100))/(2*J85)</f>
        <v>5.116520753474927</v>
      </c>
      <c r="X85" s="424">
        <f t="shared" si="8"/>
        <v>8.951955658884339</v>
      </c>
      <c r="Y85" s="318" t="str">
        <f>IF(F85="-","-",IF(I85="-",IF(F85=1,H85*Rates!$E$12*Rates!$E$7,IF(F85=2,H85*Rates!$E$13*Rates!$E$8,IF(F85=3,H85*Rates!$E$14*Rates!$E$9,"-"))),IF(F85=1,(E85/1000)*Rates!$E$12*Rates!$E$7,IF(F85=2,(E85/1000)*Rates!$E$13*Rates!$E$8,IF(F85=3,(E85/1000)*Rates!$E$14*Rates!$E$9,"-")))))</f>
        <v>-</v>
      </c>
      <c r="Z85" s="324" t="str">
        <f>IF(Y85="-","-",Y85*(Rates!$E$10/100))</f>
        <v>-</v>
      </c>
      <c r="AA85" s="317">
        <f t="shared" si="9"/>
        <v>0.8333333333333334</v>
      </c>
      <c r="AB85" s="226"/>
      <c r="AC85" s="214"/>
      <c r="AD85" s="214"/>
      <c r="AE85" s="214"/>
    </row>
    <row r="86" spans="1:31" ht="15">
      <c r="A86" s="222">
        <v>67</v>
      </c>
      <c r="B86" s="223" t="s">
        <v>708</v>
      </c>
      <c r="C86" s="214">
        <v>24747.945562554665</v>
      </c>
      <c r="D86" s="214">
        <v>32220.421623101258</v>
      </c>
      <c r="E86" s="64">
        <f t="shared" si="10"/>
        <v>28484.18359282796</v>
      </c>
      <c r="F86" s="315" t="s">
        <v>43</v>
      </c>
      <c r="G86" s="315">
        <v>16</v>
      </c>
      <c r="H86" s="315">
        <v>26</v>
      </c>
      <c r="I86" s="222">
        <v>5</v>
      </c>
      <c r="J86" s="328">
        <v>100</v>
      </c>
      <c r="K86" s="328">
        <v>12</v>
      </c>
      <c r="L86" s="328">
        <v>1440</v>
      </c>
      <c r="M86" s="439">
        <v>0.75</v>
      </c>
      <c r="N86" s="329">
        <v>0.8</v>
      </c>
      <c r="O86" s="439">
        <v>0.000631</v>
      </c>
      <c r="P86" s="439">
        <v>1.6</v>
      </c>
      <c r="Q86" s="329">
        <v>0.6</v>
      </c>
      <c r="R86" s="329">
        <v>0.885</v>
      </c>
      <c r="S86" s="88">
        <f t="shared" si="6"/>
        <v>3945.247697823589</v>
      </c>
      <c r="T86" s="317">
        <f t="shared" si="7"/>
        <v>20.449113245836976</v>
      </c>
      <c r="U86" s="317">
        <f>((E86+S86)*(Rates!$E$5/1000))/(2*J86)</f>
        <v>0.9728829387195465</v>
      </c>
      <c r="V86" s="424">
        <f>(E86*(Rates!$E$6/1000))/J86</f>
        <v>0</v>
      </c>
      <c r="W86" s="317">
        <f>((E86+S86)*(Rates!$E$4/100))/(2*J86)</f>
        <v>8.10735782266289</v>
      </c>
      <c r="X86" s="424">
        <f t="shared" si="8"/>
        <v>14.18477735869559</v>
      </c>
      <c r="Y86" s="318" t="str">
        <f>IF(F86="-","-",IF(I86="-",IF(F86=1,H86*Rates!$E$12*Rates!$E$7,IF(F86=2,H86*Rates!$E$13*Rates!$E$8,IF(F86=3,H86*Rates!$E$14*Rates!$E$9,"-"))),IF(F86=1,(E86/1000)*Rates!$E$12*Rates!$E$7,IF(F86=2,(E86/1000)*Rates!$E$13*Rates!$E$8,IF(F86=3,(E86/1000)*Rates!$E$14*Rates!$E$9,"-")))))</f>
        <v>-</v>
      </c>
      <c r="Z86" s="324" t="str">
        <f>IF(Y86="-","-",Y86*(Rates!$E$10/100))</f>
        <v>-</v>
      </c>
      <c r="AA86" s="317">
        <f t="shared" si="9"/>
        <v>0.8333333333333334</v>
      </c>
      <c r="AB86" s="226"/>
      <c r="AC86" s="214"/>
      <c r="AD86" s="214"/>
      <c r="AE86" s="214"/>
    </row>
    <row r="87" spans="1:31" ht="15">
      <c r="A87" s="222">
        <v>68</v>
      </c>
      <c r="B87" s="405" t="s">
        <v>709</v>
      </c>
      <c r="C87" s="214">
        <v>14298.812991698249</v>
      </c>
      <c r="D87" s="214">
        <v>17184.224865654003</v>
      </c>
      <c r="E87" s="64">
        <f t="shared" si="10"/>
        <v>15741.518928676127</v>
      </c>
      <c r="F87" s="315" t="s">
        <v>43</v>
      </c>
      <c r="G87" s="315">
        <v>14</v>
      </c>
      <c r="H87" s="315">
        <v>14</v>
      </c>
      <c r="I87" s="222">
        <v>4</v>
      </c>
      <c r="J87" s="328">
        <v>100</v>
      </c>
      <c r="K87" s="328">
        <v>12</v>
      </c>
      <c r="L87" s="269">
        <v>1440</v>
      </c>
      <c r="M87" s="329">
        <v>0.75</v>
      </c>
      <c r="N87" s="329">
        <v>0.8</v>
      </c>
      <c r="O87" s="329">
        <v>0.000631</v>
      </c>
      <c r="P87" s="329">
        <v>1.6</v>
      </c>
      <c r="Q87" s="329">
        <v>0.6</v>
      </c>
      <c r="R87" s="329">
        <v>0.885</v>
      </c>
      <c r="S87" s="88">
        <f t="shared" si="6"/>
        <v>2180.3044174045826</v>
      </c>
      <c r="T87" s="317">
        <f t="shared" si="7"/>
        <v>11.301012092726287</v>
      </c>
      <c r="U87" s="317">
        <f>((E87+S87)*(Rates!$E$5/1000))/(2*J87)</f>
        <v>0.5376547003824212</v>
      </c>
      <c r="V87" s="424">
        <f>(E87*(Rates!$E$6/1000))/J87</f>
        <v>0</v>
      </c>
      <c r="W87" s="317">
        <f>((E87+S87)*(Rates!$E$4/100))/(2*J87)</f>
        <v>4.480455836520178</v>
      </c>
      <c r="X87" s="424">
        <f t="shared" si="8"/>
        <v>7.839085173822057</v>
      </c>
      <c r="Y87" s="318" t="str">
        <f>IF(F87="-","-",IF(I87="-",IF(F87=1,H87*Rates!$E$12*Rates!$E$7,IF(F87=2,H87*Rates!$E$13*Rates!$E$8,IF(F87=3,H87*Rates!$E$14*Rates!$E$9,"-"))),IF(F87=1,(E87/1000)*Rates!$E$12*Rates!$E$7,IF(F87=2,(E87/1000)*Rates!$E$13*Rates!$E$8,IF(F87=3,(E87/1000)*Rates!$E$14*Rates!$E$9,"-")))))</f>
        <v>-</v>
      </c>
      <c r="Z87" s="324" t="str">
        <f>IF(Y87="-","-",Y87*(Rates!$E$10/100))</f>
        <v>-</v>
      </c>
      <c r="AA87" s="317">
        <f t="shared" si="9"/>
        <v>0.8333333333333334</v>
      </c>
      <c r="AB87" s="226"/>
      <c r="AC87" s="214"/>
      <c r="AD87" s="214"/>
      <c r="AE87" s="214"/>
    </row>
    <row r="88" spans="1:31" ht="15">
      <c r="A88" s="222">
        <v>69</v>
      </c>
      <c r="B88" s="405" t="s">
        <v>710</v>
      </c>
      <c r="C88" s="214">
        <v>14298.812991698249</v>
      </c>
      <c r="D88" s="214">
        <v>17184.224865654003</v>
      </c>
      <c r="E88" s="64">
        <f t="shared" si="10"/>
        <v>15741.518928676127</v>
      </c>
      <c r="F88" s="315" t="s">
        <v>43</v>
      </c>
      <c r="G88" s="315">
        <v>14</v>
      </c>
      <c r="H88" s="315">
        <v>14</v>
      </c>
      <c r="I88" s="222">
        <v>4</v>
      </c>
      <c r="J88" s="316">
        <v>100</v>
      </c>
      <c r="K88" s="316">
        <v>12</v>
      </c>
      <c r="L88" s="269">
        <v>1440</v>
      </c>
      <c r="M88" s="209">
        <v>0.75</v>
      </c>
      <c r="N88" s="209">
        <v>0.8</v>
      </c>
      <c r="O88" s="209">
        <v>0.000631</v>
      </c>
      <c r="P88" s="209">
        <v>1.6</v>
      </c>
      <c r="Q88" s="209">
        <v>0.6</v>
      </c>
      <c r="R88" s="209">
        <v>0.885</v>
      </c>
      <c r="S88" s="88">
        <f t="shared" si="6"/>
        <v>2180.3044174045826</v>
      </c>
      <c r="T88" s="317">
        <f t="shared" si="7"/>
        <v>11.301012092726287</v>
      </c>
      <c r="U88" s="317">
        <f>((E88+S88)*(Rates!$E$5/1000))/(2*J88)</f>
        <v>0.5376547003824212</v>
      </c>
      <c r="V88" s="424">
        <f>(E88*(Rates!$E$6/1000))/J88</f>
        <v>0</v>
      </c>
      <c r="W88" s="317">
        <f>((E88+S88)*(Rates!$E$4/100))/(2*J88)</f>
        <v>4.480455836520178</v>
      </c>
      <c r="X88" s="424">
        <f t="shared" si="8"/>
        <v>7.839085173822057</v>
      </c>
      <c r="Y88" s="318" t="str">
        <f>IF(F88="-","-",IF(I88="-",IF(F88=1,H88*Rates!$E$12*Rates!$E$7,IF(F88=2,H88*Rates!$E$13*Rates!$E$8,IF(F88=3,H88*Rates!$E$14*Rates!$E$9,"-"))),IF(F88=1,(E88/1000)*Rates!$E$12*Rates!$E$7,IF(F88=2,(E88/1000)*Rates!$E$13*Rates!$E$8,IF(F88=3,(E88/1000)*Rates!$E$14*Rates!$E$9,"-")))))</f>
        <v>-</v>
      </c>
      <c r="Z88" s="324" t="str">
        <f>IF(Y88="-","-",Y88*(Rates!$E$10/100))</f>
        <v>-</v>
      </c>
      <c r="AA88" s="317">
        <f t="shared" si="9"/>
        <v>0.8333333333333334</v>
      </c>
      <c r="AB88" s="226"/>
      <c r="AC88" s="214"/>
      <c r="AD88" s="214"/>
      <c r="AE88" s="214"/>
    </row>
    <row r="89" spans="1:31" ht="15">
      <c r="A89" s="222">
        <v>70</v>
      </c>
      <c r="B89" s="223" t="s">
        <v>711</v>
      </c>
      <c r="C89" s="214">
        <v>13748.858645863704</v>
      </c>
      <c r="D89" s="214">
        <v>22393.193028055368</v>
      </c>
      <c r="E89" s="64">
        <f t="shared" si="10"/>
        <v>18071.025836959536</v>
      </c>
      <c r="F89" s="315" t="s">
        <v>43</v>
      </c>
      <c r="G89" s="315">
        <v>13</v>
      </c>
      <c r="H89" s="315">
        <v>16</v>
      </c>
      <c r="I89" s="222">
        <v>4.5</v>
      </c>
      <c r="J89" s="328">
        <v>100</v>
      </c>
      <c r="K89" s="328">
        <v>12</v>
      </c>
      <c r="L89" s="328">
        <v>2000</v>
      </c>
      <c r="M89" s="329">
        <v>0.67</v>
      </c>
      <c r="N89" s="329">
        <v>0.8</v>
      </c>
      <c r="O89" s="329">
        <v>0.000631</v>
      </c>
      <c r="P89" s="329">
        <v>1.6</v>
      </c>
      <c r="Q89" s="329">
        <v>0.6</v>
      </c>
      <c r="R89" s="329">
        <v>0.885</v>
      </c>
      <c r="S89" s="88">
        <f t="shared" si="6"/>
        <v>2502.9565214053214</v>
      </c>
      <c r="T89" s="317">
        <f t="shared" si="7"/>
        <v>12.973391096295178</v>
      </c>
      <c r="U89" s="317">
        <f>((E89+S89)*(Rates!$E$5/1000))/(2*J89)</f>
        <v>0.6172194707509457</v>
      </c>
      <c r="V89" s="424">
        <f>(E89*(Rates!$E$6/1000))/J89</f>
        <v>0</v>
      </c>
      <c r="W89" s="317">
        <f>((E89+S89)*(Rates!$E$4/100))/(2*J89)</f>
        <v>5.143495589591215</v>
      </c>
      <c r="X89" s="424">
        <f t="shared" si="8"/>
        <v>5.320268473523881</v>
      </c>
      <c r="Y89" s="318" t="str">
        <f>IF(F89="-","-",IF(I89="-",IF(F89=1,H89*Rates!$E$12*Rates!$E$7,IF(F89=2,H89*Rates!$E$13*Rates!$E$8,IF(F89=3,H89*Rates!$E$14*Rates!$E$9,"-"))),IF(F89=1,(E89/1000)*Rates!$E$12*Rates!$E$7,IF(F89=2,(E89/1000)*Rates!$E$13*Rates!$E$8,IF(F89=3,(E89/1000)*Rates!$E$14*Rates!$E$9,"-")))))</f>
        <v>-</v>
      </c>
      <c r="Z89" s="324" t="str">
        <f>IF(Y89="-","-",Y89*(Rates!$E$10/100))</f>
        <v>-</v>
      </c>
      <c r="AA89" s="317">
        <f t="shared" si="9"/>
        <v>0.6</v>
      </c>
      <c r="AB89" s="226"/>
      <c r="AC89" s="214"/>
      <c r="AD89" s="214"/>
      <c r="AE89" s="214"/>
    </row>
    <row r="90" spans="1:31" ht="15">
      <c r="A90" s="222">
        <v>71</v>
      </c>
      <c r="B90" s="405" t="s">
        <v>712</v>
      </c>
      <c r="C90" s="214">
        <v>13748.858645863704</v>
      </c>
      <c r="D90" s="214">
        <v>22393.193028055368</v>
      </c>
      <c r="E90" s="64">
        <f t="shared" si="10"/>
        <v>18071.025836959536</v>
      </c>
      <c r="F90" s="315" t="s">
        <v>43</v>
      </c>
      <c r="G90" s="315">
        <v>13</v>
      </c>
      <c r="H90" s="315">
        <v>16</v>
      </c>
      <c r="I90" s="222">
        <v>4.5</v>
      </c>
      <c r="J90" s="328">
        <v>100</v>
      </c>
      <c r="K90" s="328">
        <v>12</v>
      </c>
      <c r="L90" s="269">
        <v>2000</v>
      </c>
      <c r="M90" s="329">
        <v>0.67</v>
      </c>
      <c r="N90" s="329">
        <v>0.8</v>
      </c>
      <c r="O90" s="329">
        <v>0.000631</v>
      </c>
      <c r="P90" s="329">
        <v>1.6</v>
      </c>
      <c r="Q90" s="329">
        <v>0.6</v>
      </c>
      <c r="R90" s="329">
        <v>0.885</v>
      </c>
      <c r="S90" s="88">
        <f t="shared" si="6"/>
        <v>2502.9565214053214</v>
      </c>
      <c r="T90" s="317">
        <f t="shared" si="7"/>
        <v>12.973391096295178</v>
      </c>
      <c r="U90" s="317">
        <f>((E90+S90)*(Rates!$E$5/1000))/(2*J90)</f>
        <v>0.6172194707509457</v>
      </c>
      <c r="V90" s="424">
        <f>(E90*(Rates!$E$6/1000))/J90</f>
        <v>0</v>
      </c>
      <c r="W90" s="317">
        <f>((E90+S90)*(Rates!$E$4/100))/(2*J90)</f>
        <v>5.143495589591215</v>
      </c>
      <c r="X90" s="424">
        <f t="shared" si="8"/>
        <v>5.320268473523881</v>
      </c>
      <c r="Y90" s="318" t="str">
        <f>IF(F90="-","-",IF(I90="-",IF(F90=1,H90*Rates!$E$12*Rates!$E$7,IF(F90=2,H90*Rates!$E$13*Rates!$E$8,IF(F90=3,H90*Rates!$E$14*Rates!$E$9,"-"))),IF(F90=1,(E90/1000)*Rates!$E$12*Rates!$E$7,IF(F90=2,(E90/1000)*Rates!$E$13*Rates!$E$8,IF(F90=3,(E90/1000)*Rates!$E$14*Rates!$E$9,"-")))))</f>
        <v>-</v>
      </c>
      <c r="Z90" s="324" t="str">
        <f>IF(Y90="-","-",Y90*(Rates!$E$10/100))</f>
        <v>-</v>
      </c>
      <c r="AA90" s="317">
        <f t="shared" si="9"/>
        <v>0.6</v>
      </c>
      <c r="AB90" s="226"/>
      <c r="AC90" s="214"/>
      <c r="AD90" s="214"/>
      <c r="AE90" s="214"/>
    </row>
    <row r="91" spans="1:31" ht="15">
      <c r="A91" s="222">
        <v>72</v>
      </c>
      <c r="B91" s="405" t="s">
        <v>713</v>
      </c>
      <c r="C91" s="214">
        <v>10999.08691669096</v>
      </c>
      <c r="D91" s="214">
        <v>14137.246994162726</v>
      </c>
      <c r="E91" s="64">
        <f t="shared" si="10"/>
        <v>12568.166955426843</v>
      </c>
      <c r="F91" s="315" t="s">
        <v>43</v>
      </c>
      <c r="G91" s="315">
        <v>12</v>
      </c>
      <c r="H91" s="315">
        <v>14</v>
      </c>
      <c r="I91" s="222">
        <v>4</v>
      </c>
      <c r="J91" s="316">
        <v>100</v>
      </c>
      <c r="K91" s="316">
        <v>12</v>
      </c>
      <c r="L91" s="269">
        <v>2000</v>
      </c>
      <c r="M91" s="209">
        <v>0.67</v>
      </c>
      <c r="N91" s="209">
        <v>0.8</v>
      </c>
      <c r="O91" s="209">
        <v>0.000631</v>
      </c>
      <c r="P91" s="209">
        <v>1.6</v>
      </c>
      <c r="Q91" s="209">
        <v>0.6</v>
      </c>
      <c r="R91" s="209">
        <v>0.885</v>
      </c>
      <c r="S91" s="88">
        <f t="shared" si="6"/>
        <v>1740.7741943934514</v>
      </c>
      <c r="T91" s="317">
        <f t="shared" si="7"/>
        <v>9.02282730086116</v>
      </c>
      <c r="U91" s="317">
        <f>((E91+S91)*(Rates!$E$5/1000))/(2*J91)</f>
        <v>0.4292682344946088</v>
      </c>
      <c r="V91" s="424">
        <f>(E91*(Rates!$E$6/1000))/J91</f>
        <v>0</v>
      </c>
      <c r="W91" s="317">
        <f>((E91+S91)*(Rates!$E$4/100))/(2*J91)</f>
        <v>3.5772352874550735</v>
      </c>
      <c r="X91" s="424">
        <f t="shared" si="8"/>
        <v>3.700178563531527</v>
      </c>
      <c r="Y91" s="318" t="str">
        <f>IF(F91="-","-",IF(I91="-",IF(F91=1,H91*Rates!$E$12*Rates!$E$7,IF(F91=2,H91*Rates!$E$13*Rates!$E$8,IF(F91=3,H91*Rates!$E$14*Rates!$E$9,"-"))),IF(F91=1,(E91/1000)*Rates!$E$12*Rates!$E$7,IF(F91=2,(E91/1000)*Rates!$E$13*Rates!$E$8,IF(F91=3,(E91/1000)*Rates!$E$14*Rates!$E$9,"-")))))</f>
        <v>-</v>
      </c>
      <c r="Z91" s="324" t="str">
        <f>IF(Y91="-","-",Y91*(Rates!$E$10/100))</f>
        <v>-</v>
      </c>
      <c r="AA91" s="317">
        <f t="shared" si="9"/>
        <v>0.6</v>
      </c>
      <c r="AB91" s="226"/>
      <c r="AC91" s="214"/>
      <c r="AD91" s="214"/>
      <c r="AE91" s="214"/>
    </row>
    <row r="92" spans="1:31" ht="15">
      <c r="A92" s="222">
        <v>73</v>
      </c>
      <c r="B92" s="405" t="s">
        <v>714</v>
      </c>
      <c r="C92" s="214">
        <v>13748.858645863704</v>
      </c>
      <c r="D92" s="214">
        <v>22393.193028055368</v>
      </c>
      <c r="E92" s="64">
        <f t="shared" si="10"/>
        <v>18071.025836959536</v>
      </c>
      <c r="F92" s="315" t="s">
        <v>43</v>
      </c>
      <c r="G92" s="315">
        <v>13</v>
      </c>
      <c r="H92" s="315">
        <v>16</v>
      </c>
      <c r="I92" s="222">
        <v>4.5</v>
      </c>
      <c r="J92" s="316">
        <v>100</v>
      </c>
      <c r="K92" s="316">
        <v>12</v>
      </c>
      <c r="L92" s="269">
        <v>2000</v>
      </c>
      <c r="M92" s="209">
        <v>0.67</v>
      </c>
      <c r="N92" s="209">
        <v>0.8</v>
      </c>
      <c r="O92" s="209">
        <v>0.000631</v>
      </c>
      <c r="P92" s="209">
        <v>1.6</v>
      </c>
      <c r="Q92" s="209">
        <v>0.6</v>
      </c>
      <c r="R92" s="209">
        <v>0.885</v>
      </c>
      <c r="S92" s="88">
        <f t="shared" si="6"/>
        <v>2502.9565214053214</v>
      </c>
      <c r="T92" s="317">
        <f t="shared" si="7"/>
        <v>12.973391096295178</v>
      </c>
      <c r="U92" s="317">
        <f>((E92+S92)*(Rates!$E$5/1000))/(2*J92)</f>
        <v>0.6172194707509457</v>
      </c>
      <c r="V92" s="424">
        <f>(E92*(Rates!$E$6/1000))/J92</f>
        <v>0</v>
      </c>
      <c r="W92" s="317">
        <f>((E92+S92)*(Rates!$E$4/100))/(2*J92)</f>
        <v>5.143495589591215</v>
      </c>
      <c r="X92" s="424">
        <f t="shared" si="8"/>
        <v>5.320268473523881</v>
      </c>
      <c r="Y92" s="318" t="str">
        <f>IF(F92="-","-",IF(I92="-",IF(F92=1,H92*Rates!$E$12*Rates!$E$7,IF(F92=2,H92*Rates!$E$13*Rates!$E$8,IF(F92=3,H92*Rates!$E$14*Rates!$E$9,"-"))),IF(F92=1,(E92/1000)*Rates!$E$12*Rates!$E$7,IF(F92=2,(E92/1000)*Rates!$E$13*Rates!$E$8,IF(F92=3,(E92/1000)*Rates!$E$14*Rates!$E$9,"-")))))</f>
        <v>-</v>
      </c>
      <c r="Z92" s="324" t="str">
        <f>IF(Y92="-","-",Y92*(Rates!$E$10/100))</f>
        <v>-</v>
      </c>
      <c r="AA92" s="317">
        <f t="shared" si="9"/>
        <v>0.6</v>
      </c>
      <c r="AB92" s="226"/>
      <c r="AC92" s="214"/>
      <c r="AD92" s="214"/>
      <c r="AE92" s="214"/>
    </row>
    <row r="93" spans="1:31" ht="15">
      <c r="A93" s="222">
        <v>74</v>
      </c>
      <c r="B93" s="405" t="s">
        <v>715</v>
      </c>
      <c r="C93" s="214">
        <v>13057.138290880695</v>
      </c>
      <c r="D93" s="214">
        <v>12749.740171156065</v>
      </c>
      <c r="E93" s="64">
        <f t="shared" si="10"/>
        <v>12903.43923101838</v>
      </c>
      <c r="F93" s="315" t="s">
        <v>43</v>
      </c>
      <c r="G93" s="315">
        <v>11</v>
      </c>
      <c r="H93" s="315">
        <v>6</v>
      </c>
      <c r="I93" s="222">
        <v>2.5</v>
      </c>
      <c r="J93" s="316">
        <v>100</v>
      </c>
      <c r="K93" s="316">
        <v>8</v>
      </c>
      <c r="L93" s="269">
        <v>2000</v>
      </c>
      <c r="M93" s="209">
        <v>0.7</v>
      </c>
      <c r="N93" s="209">
        <v>0.33</v>
      </c>
      <c r="O93" s="209">
        <v>0.000251</v>
      </c>
      <c r="P93" s="209">
        <v>1.8</v>
      </c>
      <c r="Q93" s="209">
        <v>0.6</v>
      </c>
      <c r="R93" s="209">
        <v>0.885</v>
      </c>
      <c r="S93" s="88">
        <f t="shared" si="6"/>
        <v>2913.4186554269795</v>
      </c>
      <c r="T93" s="317">
        <f t="shared" si="7"/>
        <v>12.487525719489248</v>
      </c>
      <c r="U93" s="317">
        <f>((E93+S93)*(Rates!$E$5/1000))/(2*J93)</f>
        <v>0.4745057365933608</v>
      </c>
      <c r="V93" s="424">
        <f>(E93*(Rates!$E$6/1000))/J93</f>
        <v>0</v>
      </c>
      <c r="W93" s="317">
        <f>((E93+S93)*(Rates!$E$4/100))/(2*J93)</f>
        <v>3.9542144716113397</v>
      </c>
      <c r="X93" s="424">
        <f t="shared" si="8"/>
        <v>1.0229099854228696</v>
      </c>
      <c r="Y93" s="318" t="str">
        <f>IF(F93="-","-",IF(I93="-",IF(F93=1,H93*Rates!$E$12*Rates!$E$7,IF(F93=2,H93*Rates!$E$13*Rates!$E$8,IF(F93=3,H93*Rates!$E$14*Rates!$E$9,"-"))),IF(F93=1,(E93/1000)*Rates!$E$12*Rates!$E$7,IF(F93=2,(E93/1000)*Rates!$E$13*Rates!$E$8,IF(F93=3,(E93/1000)*Rates!$E$14*Rates!$E$9,"-")))))</f>
        <v>-</v>
      </c>
      <c r="Z93" s="324" t="str">
        <f>IF(Y93="-","-",Y93*(Rates!$E$10/100))</f>
        <v>-</v>
      </c>
      <c r="AA93" s="317">
        <f t="shared" si="9"/>
        <v>0.4</v>
      </c>
      <c r="AB93" s="226"/>
      <c r="AC93" s="214"/>
      <c r="AD93" s="214"/>
      <c r="AE93" s="214"/>
    </row>
    <row r="94" spans="1:31" ht="15">
      <c r="A94" s="222">
        <v>75</v>
      </c>
      <c r="B94" s="405" t="s">
        <v>716</v>
      </c>
      <c r="C94" s="214">
        <v>60608.63527327276</v>
      </c>
      <c r="D94" s="214">
        <v>59181.75442794298</v>
      </c>
      <c r="E94" s="64">
        <f t="shared" si="10"/>
        <v>59895.19485060787</v>
      </c>
      <c r="F94" s="315" t="s">
        <v>43</v>
      </c>
      <c r="G94" s="315">
        <v>13</v>
      </c>
      <c r="H94" s="315">
        <v>5</v>
      </c>
      <c r="I94" s="222">
        <v>3</v>
      </c>
      <c r="J94" s="316">
        <v>200</v>
      </c>
      <c r="K94" s="316">
        <v>15</v>
      </c>
      <c r="L94" s="269">
        <v>3000</v>
      </c>
      <c r="M94" s="209">
        <v>0.7</v>
      </c>
      <c r="N94" s="209">
        <v>0.75</v>
      </c>
      <c r="O94" s="209">
        <v>0.000251</v>
      </c>
      <c r="P94" s="209">
        <v>1.8</v>
      </c>
      <c r="Q94" s="209">
        <v>0.6</v>
      </c>
      <c r="R94" s="209">
        <v>0.885</v>
      </c>
      <c r="S94" s="88">
        <f t="shared" si="6"/>
        <v>5750.323700720193</v>
      </c>
      <c r="T94" s="317">
        <f t="shared" si="7"/>
        <v>18.048290383295893</v>
      </c>
      <c r="U94" s="317">
        <f>((E94+S94)*(Rates!$E$5/1000))/(2*J94)</f>
        <v>0.9846827782699209</v>
      </c>
      <c r="V94" s="424">
        <f>(E94*(Rates!$E$6/1000))/J94</f>
        <v>0</v>
      </c>
      <c r="W94" s="317">
        <f>((E94+S94)*(Rates!$E$4/100))/(2*J94)</f>
        <v>8.205689818916007</v>
      </c>
      <c r="X94" s="424">
        <f t="shared" si="8"/>
        <v>14.973798712651968</v>
      </c>
      <c r="Y94" s="318" t="str">
        <f>IF(F94="-","-",IF(I94="-",IF(F94=1,H94*Rates!$E$12*Rates!$E$7,IF(F94=2,H94*Rates!$E$13*Rates!$E$8,IF(F94=3,H94*Rates!$E$14*Rates!$E$9,"-"))),IF(F94=1,(E94/1000)*Rates!$E$12*Rates!$E$7,IF(F94=2,(E94/1000)*Rates!$E$13*Rates!$E$8,IF(F94=3,(E94/1000)*Rates!$E$14*Rates!$E$9,"-")))))</f>
        <v>-</v>
      </c>
      <c r="Z94" s="324" t="str">
        <f>IF(Y94="-","-",Y94*(Rates!$E$10/100))</f>
        <v>-</v>
      </c>
      <c r="AA94" s="317">
        <f t="shared" si="9"/>
        <v>1</v>
      </c>
      <c r="AB94" s="226"/>
      <c r="AC94" s="214"/>
      <c r="AD94" s="214"/>
      <c r="AE94" s="214"/>
    </row>
    <row r="95" spans="1:31" ht="15">
      <c r="A95" s="222">
        <v>76</v>
      </c>
      <c r="B95" s="405" t="s">
        <v>717</v>
      </c>
      <c r="C95" s="214">
        <v>24287.206032822163</v>
      </c>
      <c r="D95" s="214">
        <v>23715.42366355152</v>
      </c>
      <c r="E95" s="64">
        <f t="shared" si="10"/>
        <v>24001.31484818684</v>
      </c>
      <c r="F95" s="315" t="s">
        <v>43</v>
      </c>
      <c r="G95" s="315">
        <v>12</v>
      </c>
      <c r="H95" s="315">
        <v>12</v>
      </c>
      <c r="I95" s="222">
        <v>3.8</v>
      </c>
      <c r="J95" s="316">
        <v>150</v>
      </c>
      <c r="K95" s="316">
        <v>15</v>
      </c>
      <c r="L95" s="269">
        <v>1500</v>
      </c>
      <c r="M95" s="209">
        <v>0.67</v>
      </c>
      <c r="N95" s="209">
        <v>0.75</v>
      </c>
      <c r="O95" s="209">
        <v>0.000631</v>
      </c>
      <c r="P95" s="209">
        <v>1.6</v>
      </c>
      <c r="Q95" s="209">
        <v>0.6</v>
      </c>
      <c r="R95" s="209">
        <v>0.885</v>
      </c>
      <c r="S95" s="88">
        <f t="shared" si="6"/>
        <v>2304.2805013693946</v>
      </c>
      <c r="T95" s="317">
        <f t="shared" si="7"/>
        <v>9.643126376363309</v>
      </c>
      <c r="U95" s="317">
        <f>((E95+S95)*(Rates!$E$5/1000))/(2*J95)</f>
        <v>0.5261119069911248</v>
      </c>
      <c r="V95" s="424">
        <f>(E95*(Rates!$E$6/1000))/J95</f>
        <v>0</v>
      </c>
      <c r="W95" s="317">
        <f>((E95+S95)*(Rates!$E$4/100))/(2*J95)</f>
        <v>4.384265891592706</v>
      </c>
      <c r="X95" s="424">
        <f t="shared" si="8"/>
        <v>15.30593250230554</v>
      </c>
      <c r="Y95" s="318" t="str">
        <f>IF(F95="-","-",IF(I95="-",IF(F95=1,H95*Rates!$E$12*Rates!$E$7,IF(F95=2,H95*Rates!$E$13*Rates!$E$8,IF(F95=3,H95*Rates!$E$14*Rates!$E$9,"-"))),IF(F95=1,(E95/1000)*Rates!$E$12*Rates!$E$7,IF(F95=2,(E95/1000)*Rates!$E$13*Rates!$E$8,IF(F95=3,(E95/1000)*Rates!$E$14*Rates!$E$9,"-")))))</f>
        <v>-</v>
      </c>
      <c r="Z95" s="324" t="str">
        <f>IF(Y95="-","-",Y95*(Rates!$E$10/100))</f>
        <v>-</v>
      </c>
      <c r="AA95" s="317">
        <f t="shared" si="9"/>
        <v>1.5</v>
      </c>
      <c r="AB95" s="226"/>
      <c r="AC95" s="214"/>
      <c r="AD95" s="214"/>
      <c r="AE95" s="214"/>
    </row>
    <row r="96" spans="1:31" ht="15">
      <c r="A96" s="222">
        <v>77</v>
      </c>
      <c r="B96" s="405" t="s">
        <v>718</v>
      </c>
      <c r="C96" s="214">
        <v>7964.56104845278</v>
      </c>
      <c r="D96" s="214">
        <v>7777.055100657438</v>
      </c>
      <c r="E96" s="64">
        <f t="shared" si="10"/>
        <v>7870.808074555109</v>
      </c>
      <c r="F96" s="315" t="s">
        <v>43</v>
      </c>
      <c r="G96" s="315">
        <v>11</v>
      </c>
      <c r="H96" s="315">
        <v>8</v>
      </c>
      <c r="I96" s="222">
        <v>3.5</v>
      </c>
      <c r="J96" s="316">
        <v>75</v>
      </c>
      <c r="K96" s="316">
        <v>8</v>
      </c>
      <c r="L96" s="269">
        <v>2000</v>
      </c>
      <c r="M96" s="209">
        <v>0.75</v>
      </c>
      <c r="N96" s="209">
        <v>0.8</v>
      </c>
      <c r="O96" s="209">
        <v>0.00251</v>
      </c>
      <c r="P96" s="209">
        <v>1.6</v>
      </c>
      <c r="Q96" s="209">
        <v>0.6</v>
      </c>
      <c r="R96" s="209">
        <v>0.885</v>
      </c>
      <c r="S96" s="88">
        <f t="shared" si="6"/>
        <v>1777.1199342397629</v>
      </c>
      <c r="T96" s="317">
        <f t="shared" si="7"/>
        <v>10.156146900525576</v>
      </c>
      <c r="U96" s="317">
        <f>((E96+S96)*(Rates!$E$5/1000))/(2*J96)</f>
        <v>0.3859171203517949</v>
      </c>
      <c r="V96" s="424">
        <f>(E96*(Rates!$E$6/1000))/J96</f>
        <v>0</v>
      </c>
      <c r="W96" s="317">
        <f>((E96+S96)*(Rates!$E$4/100))/(2*J96)</f>
        <v>3.2159760029316242</v>
      </c>
      <c r="X96" s="424">
        <f t="shared" si="8"/>
        <v>1.528804902225613</v>
      </c>
      <c r="Y96" s="318" t="str">
        <f>IF(F96="-","-",IF(I96="-",IF(F96=1,H96*Rates!$E$12*Rates!$E$7,IF(F96=2,H96*Rates!$E$13*Rates!$E$8,IF(F96=3,H96*Rates!$E$14*Rates!$E$9,"-"))),IF(F96=1,(E96/1000)*Rates!$E$12*Rates!$E$7,IF(F96=2,(E96/1000)*Rates!$E$13*Rates!$E$8,IF(F96=3,(E96/1000)*Rates!$E$14*Rates!$E$9,"-")))))</f>
        <v>-</v>
      </c>
      <c r="Z96" s="324" t="str">
        <f>IF(Y96="-","-",Y96*(Rates!$E$10/100))</f>
        <v>-</v>
      </c>
      <c r="AA96" s="317">
        <f t="shared" si="9"/>
        <v>0.3</v>
      </c>
      <c r="AB96" s="226"/>
      <c r="AC96" s="214"/>
      <c r="AD96" s="214"/>
      <c r="AE96" s="214"/>
    </row>
    <row r="97" spans="1:31" ht="15">
      <c r="A97" s="222">
        <v>78</v>
      </c>
      <c r="B97" s="405" t="s">
        <v>957</v>
      </c>
      <c r="C97" s="214">
        <v>20776.05306486071</v>
      </c>
      <c r="D97" s="214">
        <v>20286.932133063758</v>
      </c>
      <c r="E97" s="64">
        <f t="shared" si="10"/>
        <v>20531.492598962235</v>
      </c>
      <c r="F97" s="315" t="s">
        <v>43</v>
      </c>
      <c r="G97" s="315">
        <v>10</v>
      </c>
      <c r="H97" s="315">
        <v>16</v>
      </c>
      <c r="I97" s="222">
        <v>1</v>
      </c>
      <c r="J97" s="316">
        <v>150</v>
      </c>
      <c r="K97" s="316">
        <v>8</v>
      </c>
      <c r="L97" s="269">
        <v>1500</v>
      </c>
      <c r="M97" s="209">
        <v>0.75</v>
      </c>
      <c r="N97" s="209">
        <v>1</v>
      </c>
      <c r="O97" s="209">
        <v>0.00251</v>
      </c>
      <c r="P97" s="209">
        <v>1.3</v>
      </c>
      <c r="Q97" s="209">
        <v>0.66</v>
      </c>
      <c r="R97" s="209">
        <v>0.88</v>
      </c>
      <c r="S97" s="88">
        <f t="shared" si="6"/>
        <v>4873.33016568818</v>
      </c>
      <c r="T97" s="317">
        <f t="shared" si="7"/>
        <v>13.048468694395044</v>
      </c>
      <c r="U97" s="317">
        <f>((E97+S97)*(Rates!$E$5/1000))/(2*J97)</f>
        <v>0.5080964552930084</v>
      </c>
      <c r="V97" s="424">
        <f>(E97*(Rates!$E$6/1000))/J97</f>
        <v>0</v>
      </c>
      <c r="W97" s="317">
        <f>((E97+S97)*(Rates!$E$4/100))/(2*J97)</f>
        <v>4.234137127441736</v>
      </c>
      <c r="X97" s="424">
        <f t="shared" si="8"/>
        <v>12.801364389774047</v>
      </c>
      <c r="Y97" s="318" t="str">
        <f>IF(F97="-","-",IF(I97="-",IF(F97=1,H97*Rates!$E$12*Rates!$E$7,IF(F97=2,H97*Rates!$E$13*Rates!$E$8,IF(F97=3,H97*Rates!$E$14*Rates!$E$9,"-"))),IF(F97=1,(E97/1000)*Rates!$E$12*Rates!$E$7,IF(F97=2,(E97/1000)*Rates!$E$13*Rates!$E$8,IF(F97=3,(E97/1000)*Rates!$E$14*Rates!$E$9,"-")))))</f>
        <v>-</v>
      </c>
      <c r="Z97" s="324" t="str">
        <f>IF(Y97="-","-",Y97*(Rates!$E$10/100))</f>
        <v>-</v>
      </c>
      <c r="AA97" s="317">
        <f aca="true" t="shared" si="11" ref="AA97:AA158">(K97*J97)/L97</f>
        <v>0.8</v>
      </c>
      <c r="AB97" s="226"/>
      <c r="AC97" s="214"/>
      <c r="AD97" s="214"/>
      <c r="AE97" s="214"/>
    </row>
    <row r="98" spans="1:31" ht="15">
      <c r="A98" s="222">
        <v>79</v>
      </c>
      <c r="B98" s="405" t="s">
        <v>719</v>
      </c>
      <c r="C98" s="214">
        <v>21999.39595415044</v>
      </c>
      <c r="D98" s="214">
        <v>21481.4744310165</v>
      </c>
      <c r="E98" s="64">
        <f t="shared" si="10"/>
        <v>21740.43519258347</v>
      </c>
      <c r="F98" s="315" t="s">
        <v>43</v>
      </c>
      <c r="G98" s="315">
        <v>12</v>
      </c>
      <c r="H98" s="315">
        <v>18</v>
      </c>
      <c r="I98" s="222">
        <v>3.4</v>
      </c>
      <c r="J98" s="316">
        <v>100</v>
      </c>
      <c r="K98" s="316">
        <v>10</v>
      </c>
      <c r="L98" s="269">
        <v>1000</v>
      </c>
      <c r="M98" s="209">
        <v>0.67</v>
      </c>
      <c r="N98" s="209">
        <v>0.85</v>
      </c>
      <c r="O98" s="209">
        <v>0.00251</v>
      </c>
      <c r="P98" s="209">
        <v>1.3</v>
      </c>
      <c r="Q98" s="209">
        <v>0.6</v>
      </c>
      <c r="R98" s="209">
        <v>0.885</v>
      </c>
      <c r="S98" s="88">
        <f t="shared" si="6"/>
        <v>3844.609110582995</v>
      </c>
      <c r="T98" s="317">
        <f t="shared" si="7"/>
        <v>17.895826082000475</v>
      </c>
      <c r="U98" s="317">
        <f>((E98+S98)*(Rates!$E$5/1000))/(2*J98)</f>
        <v>0.7675513290949939</v>
      </c>
      <c r="V98" s="424">
        <f>(E98*(Rates!$E$6/1000))/J98</f>
        <v>0</v>
      </c>
      <c r="W98" s="317">
        <f>((E98+S98)*(Rates!$E$4/100))/(2*J98)</f>
        <v>6.396261075791617</v>
      </c>
      <c r="X98" s="424">
        <f t="shared" si="8"/>
        <v>18.47936991369595</v>
      </c>
      <c r="Y98" s="318" t="str">
        <f>IF(F98="-","-",IF(I98="-",IF(F98=1,H98*Rates!$E$12*Rates!$E$7,IF(F98=2,H98*Rates!$E$13*Rates!$E$8,IF(F98=3,H98*Rates!$E$14*Rates!$E$9,"-"))),IF(F98=1,(E98/1000)*Rates!$E$12*Rates!$E$7,IF(F98=2,(E98/1000)*Rates!$E$13*Rates!$E$8,IF(F98=3,(E98/1000)*Rates!$E$14*Rates!$E$9,"-")))))</f>
        <v>-</v>
      </c>
      <c r="Z98" s="324" t="str">
        <f>IF(Y98="-","-",Y98*(Rates!$E$10/100))</f>
        <v>-</v>
      </c>
      <c r="AA98" s="317">
        <f t="shared" si="11"/>
        <v>1</v>
      </c>
      <c r="AB98" s="226"/>
      <c r="AC98" s="214"/>
      <c r="AD98" s="214"/>
      <c r="AE98" s="214"/>
    </row>
    <row r="99" spans="1:31" ht="15">
      <c r="A99" s="222">
        <v>80</v>
      </c>
      <c r="B99" s="405" t="s">
        <v>720</v>
      </c>
      <c r="C99" s="214">
        <v>17625.49761306998</v>
      </c>
      <c r="D99" s="214">
        <v>13962.182703343877</v>
      </c>
      <c r="E99" s="64">
        <f t="shared" si="10"/>
        <v>15793.840158206927</v>
      </c>
      <c r="F99" s="315" t="s">
        <v>43</v>
      </c>
      <c r="G99" s="315">
        <v>12</v>
      </c>
      <c r="H99" s="315">
        <v>8</v>
      </c>
      <c r="I99" s="222">
        <v>4</v>
      </c>
      <c r="J99" s="316">
        <v>100</v>
      </c>
      <c r="K99" s="316">
        <v>8</v>
      </c>
      <c r="L99" s="269">
        <v>2000</v>
      </c>
      <c r="M99" s="209">
        <v>0.67</v>
      </c>
      <c r="N99" s="209">
        <v>0.85</v>
      </c>
      <c r="O99" s="209">
        <v>0.00251</v>
      </c>
      <c r="P99" s="209">
        <v>1.3</v>
      </c>
      <c r="Q99" s="209">
        <v>0.56</v>
      </c>
      <c r="R99" s="209">
        <v>0.885</v>
      </c>
      <c r="S99" s="88">
        <f t="shared" si="6"/>
        <v>3328.2959076520256</v>
      </c>
      <c r="T99" s="317">
        <f t="shared" si="7"/>
        <v>15.581930313193627</v>
      </c>
      <c r="U99" s="317">
        <f>((E99+S99)*(Rates!$E$5/1000))/(2*J99)</f>
        <v>0.5736640819757687</v>
      </c>
      <c r="V99" s="424">
        <f>(E99*(Rates!$E$6/1000))/J99</f>
        <v>0</v>
      </c>
      <c r="W99" s="317">
        <f>((E99+S99)*(Rates!$E$4/100))/(2*J99)</f>
        <v>4.780534016464739</v>
      </c>
      <c r="X99" s="424">
        <f t="shared" si="8"/>
        <v>5.099113346516822</v>
      </c>
      <c r="Y99" s="318" t="str">
        <f>IF(F99="-","-",IF(I99="-",IF(F99=1,H99*Rates!$E$12*Rates!$E$7,IF(F99=2,H99*Rates!$E$13*Rates!$E$8,IF(F99=3,H99*Rates!$E$14*Rates!$E$9,"-"))),IF(F99=1,(E99/1000)*Rates!$E$12*Rates!$E$7,IF(F99=2,(E99/1000)*Rates!$E$13*Rates!$E$8,IF(F99=3,(E99/1000)*Rates!$E$14*Rates!$E$9,"-")))))</f>
        <v>-</v>
      </c>
      <c r="Z99" s="324" t="str">
        <f>IF(Y99="-","-",Y99*(Rates!$E$10/100))</f>
        <v>-</v>
      </c>
      <c r="AA99" s="317">
        <f t="shared" si="11"/>
        <v>0.4</v>
      </c>
      <c r="AB99" s="226"/>
      <c r="AC99" s="214"/>
      <c r="AD99" s="214"/>
      <c r="AE99" s="214"/>
    </row>
    <row r="100" spans="1:31" ht="15">
      <c r="A100" s="222">
        <v>80.1</v>
      </c>
      <c r="B100" s="405" t="s">
        <v>721</v>
      </c>
      <c r="C100" s="214">
        <v>12714.4298495497</v>
      </c>
      <c r="D100" s="214">
        <v>13538.138319523125</v>
      </c>
      <c r="E100" s="64">
        <f>IF(C100=0,D100,IF(D100=0,C100,AVERAGE(C100,D100)))</f>
        <v>13126.284084536412</v>
      </c>
      <c r="F100" s="315" t="s">
        <v>43</v>
      </c>
      <c r="G100" s="315">
        <v>12</v>
      </c>
      <c r="H100" s="315">
        <v>8</v>
      </c>
      <c r="I100" s="222">
        <v>4</v>
      </c>
      <c r="J100" s="316">
        <v>125</v>
      </c>
      <c r="K100" s="316">
        <v>8</v>
      </c>
      <c r="L100" s="269">
        <v>2000</v>
      </c>
      <c r="M100" s="209">
        <v>0.67</v>
      </c>
      <c r="N100" s="209">
        <v>0.85</v>
      </c>
      <c r="O100" s="209">
        <v>0.00251</v>
      </c>
      <c r="P100" s="209">
        <v>1.3</v>
      </c>
      <c r="Q100" s="209">
        <v>0.56</v>
      </c>
      <c r="R100" s="209">
        <v>0.885</v>
      </c>
      <c r="S100" s="88">
        <f>E100*Q100*(R100^K100)</f>
        <v>2766.1516872157817</v>
      </c>
      <c r="T100" s="317">
        <f>(E100-S100)/(J100*K100)</f>
        <v>10.360132397320632</v>
      </c>
      <c r="U100" s="317">
        <f>((E100+S100)*(Rates!$E$5/1000))/(2*J100)</f>
        <v>0.38141845852205264</v>
      </c>
      <c r="V100" s="424">
        <f>(E100*(Rates!$E$6/1000))/J100</f>
        <v>0</v>
      </c>
      <c r="W100" s="317">
        <f>((E100+S100)*(Rates!$E$4/100))/(2*J100)</f>
        <v>3.1784871543504387</v>
      </c>
      <c r="X100" s="424">
        <f>((E100*N100)*(AA100^P100))/(J100*K100)</f>
        <v>4.531288673739901</v>
      </c>
      <c r="Y100" s="318" t="str">
        <f>IF(F100="-","-",IF(I100="-",IF(F100=1,H100*Rates!$E$12*Rates!$E$7,IF(F100=2,H100*Rates!$E$13*Rates!$E$8,IF(F100=3,H100*Rates!$E$14*Rates!$E$9,"-"))),IF(F100=1,(E100/1000)*Rates!$E$12*Rates!$E$7,IF(F100=2,(E100/1000)*Rates!$E$13*Rates!$E$8,IF(F100=3,(E100/1000)*Rates!$E$14*Rates!$E$9,"-")))))</f>
        <v>-</v>
      </c>
      <c r="Z100" s="324" t="str">
        <f>IF(Y100="-","-",Y100*(Rates!$E$10/100))</f>
        <v>-</v>
      </c>
      <c r="AA100" s="317">
        <f>(K100*J100)/L100</f>
        <v>0.5</v>
      </c>
      <c r="AB100" s="226"/>
      <c r="AC100" s="214"/>
      <c r="AD100" s="214"/>
      <c r="AE100" s="214"/>
    </row>
    <row r="101" spans="1:31" ht="15">
      <c r="A101" s="222">
        <v>80.2</v>
      </c>
      <c r="B101" s="405" t="s">
        <v>722</v>
      </c>
      <c r="C101" s="214">
        <v>8724.448661630626</v>
      </c>
      <c r="D101" s="214">
        <v>8689.4340946875</v>
      </c>
      <c r="E101" s="64">
        <f>IF(C101=0,D101,IF(D101=0,C101,AVERAGE(C101,D101)))</f>
        <v>8706.941378159063</v>
      </c>
      <c r="F101" s="315" t="s">
        <v>43</v>
      </c>
      <c r="G101" s="315">
        <v>12</v>
      </c>
      <c r="H101" s="315">
        <v>8</v>
      </c>
      <c r="I101" s="222">
        <v>4</v>
      </c>
      <c r="J101" s="316">
        <v>100</v>
      </c>
      <c r="K101" s="316">
        <v>8</v>
      </c>
      <c r="L101" s="269">
        <v>2000</v>
      </c>
      <c r="M101" s="209">
        <v>0.67</v>
      </c>
      <c r="N101" s="209">
        <v>0.85</v>
      </c>
      <c r="O101" s="209">
        <v>0.00251</v>
      </c>
      <c r="P101" s="209">
        <v>1.3</v>
      </c>
      <c r="Q101" s="209">
        <v>0.56</v>
      </c>
      <c r="R101" s="209">
        <v>0.885</v>
      </c>
      <c r="S101" s="88">
        <f>E101*Q101*(R101^K101)</f>
        <v>1834.8468179244198</v>
      </c>
      <c r="T101" s="317">
        <f>(E101-S101)/(J101*K101)</f>
        <v>8.590118200293304</v>
      </c>
      <c r="U101" s="317">
        <f>((E101+S101)*(Rates!$E$5/1000))/(2*J101)</f>
        <v>0.31625364588250443</v>
      </c>
      <c r="V101" s="424">
        <f>(E101*(Rates!$E$6/1000))/J101</f>
        <v>0</v>
      </c>
      <c r="W101" s="317">
        <f>((E101+S101)*(Rates!$E$4/100))/(2*J101)</f>
        <v>2.6354470490208706</v>
      </c>
      <c r="X101" s="424">
        <f>((E101*N101)*(AA101^P101))/(J101*K101)</f>
        <v>2.811075744972647</v>
      </c>
      <c r="Y101" s="318" t="str">
        <f>IF(F101="-","-",IF(I101="-",IF(F101=1,H101*Rates!$E$12*Rates!$E$7,IF(F101=2,H101*Rates!$E$13*Rates!$E$8,IF(F101=3,H101*Rates!$E$14*Rates!$E$9,"-"))),IF(F101=1,(E101/1000)*Rates!$E$12*Rates!$E$7,IF(F101=2,(E101/1000)*Rates!$E$13*Rates!$E$8,IF(F101=3,(E101/1000)*Rates!$E$14*Rates!$E$9,"-")))))</f>
        <v>-</v>
      </c>
      <c r="Z101" s="324" t="str">
        <f>IF(Y101="-","-",Y101*(Rates!$E$10/100))</f>
        <v>-</v>
      </c>
      <c r="AA101" s="317">
        <f>(K101*J101)/L101</f>
        <v>0.4</v>
      </c>
      <c r="AB101" s="226"/>
      <c r="AC101" s="214"/>
      <c r="AD101" s="214"/>
      <c r="AE101" s="214"/>
    </row>
    <row r="102" spans="1:31" ht="15">
      <c r="A102" s="222">
        <v>80.3</v>
      </c>
      <c r="B102" s="405" t="s">
        <v>857</v>
      </c>
      <c r="C102" s="214">
        <v>10560.59</v>
      </c>
      <c r="D102" s="214">
        <v>12263</v>
      </c>
      <c r="E102" s="64">
        <f>IF(C102=0,D102,IF(D102=0,C102,AVERAGE(C102,D102)))</f>
        <v>11411.795</v>
      </c>
      <c r="F102" s="315" t="s">
        <v>43</v>
      </c>
      <c r="G102" s="315">
        <v>13</v>
      </c>
      <c r="H102" s="315">
        <v>12</v>
      </c>
      <c r="I102" s="222">
        <v>4</v>
      </c>
      <c r="J102" s="316">
        <v>100</v>
      </c>
      <c r="K102" s="316">
        <v>8</v>
      </c>
      <c r="L102" s="269">
        <v>2000</v>
      </c>
      <c r="M102" s="209">
        <v>0.67</v>
      </c>
      <c r="N102" s="209">
        <v>0.85</v>
      </c>
      <c r="O102" s="209">
        <v>0.00251</v>
      </c>
      <c r="P102" s="209">
        <v>1.3</v>
      </c>
      <c r="Q102" s="209">
        <v>0.56</v>
      </c>
      <c r="R102" s="209">
        <v>0.885</v>
      </c>
      <c r="S102" s="88">
        <f>E102*Q102*(R102^K102)</f>
        <v>2404.8508923098993</v>
      </c>
      <c r="T102" s="317">
        <f>(E102-S102)/(J102*K102)</f>
        <v>11.258680134612625</v>
      </c>
      <c r="U102" s="317">
        <f>((E102+S102)*(Rates!$E$5/1000))/(2*J102)</f>
        <v>0.414499376769297</v>
      </c>
      <c r="V102" s="424">
        <f>(E102*(Rates!$E$6/1000))/J102</f>
        <v>0</v>
      </c>
      <c r="W102" s="317">
        <f>((E102+S102)*(Rates!$E$4/100))/(2*J102)</f>
        <v>3.454161473077475</v>
      </c>
      <c r="X102" s="424">
        <f>((E102*N102)*(AA102^P102))/(J102*K102)</f>
        <v>3.6843500763160977</v>
      </c>
      <c r="Y102" s="318" t="str">
        <f>IF(F102="-","-",IF(I102="-",IF(F102=1,H102*Rates!$E$12*Rates!$E$7,IF(F102=2,H102*Rates!$E$13*Rates!$E$8,IF(F102=3,H102*Rates!$E$14*Rates!$E$9,"-"))),IF(F102=1,(E102/1000)*Rates!$E$12*Rates!$E$7,IF(F102=2,(E102/1000)*Rates!$E$13*Rates!$E$8,IF(F102=3,(E102/1000)*Rates!$E$14*Rates!$E$9,"-")))))</f>
        <v>-</v>
      </c>
      <c r="Z102" s="324" t="str">
        <f>IF(Y102="-","-",Y102*(Rates!$E$10/100))</f>
        <v>-</v>
      </c>
      <c r="AA102" s="317">
        <f>(K102*J102)/L102</f>
        <v>0.4</v>
      </c>
      <c r="AB102" s="226"/>
      <c r="AC102" s="214"/>
      <c r="AD102" s="214"/>
      <c r="AE102" s="214"/>
    </row>
    <row r="103" spans="1:35" ht="15">
      <c r="A103" s="222">
        <v>81</v>
      </c>
      <c r="B103" s="405" t="s">
        <v>723</v>
      </c>
      <c r="C103" s="214">
        <v>1319.8904300029155</v>
      </c>
      <c r="D103" s="214">
        <v>9129.119459878688</v>
      </c>
      <c r="E103" s="64">
        <f t="shared" si="10"/>
        <v>5224.504944940802</v>
      </c>
      <c r="F103" s="315" t="s">
        <v>43</v>
      </c>
      <c r="G103" s="315">
        <v>10</v>
      </c>
      <c r="H103" s="315">
        <v>20</v>
      </c>
      <c r="I103" s="222">
        <v>3.8</v>
      </c>
      <c r="J103" s="316">
        <v>50</v>
      </c>
      <c r="K103" s="316">
        <v>15</v>
      </c>
      <c r="L103" s="269">
        <v>1200</v>
      </c>
      <c r="M103" s="209">
        <v>0.6</v>
      </c>
      <c r="N103" s="209">
        <v>0.7</v>
      </c>
      <c r="O103" s="209">
        <v>0.000251</v>
      </c>
      <c r="P103" s="209">
        <v>1.8</v>
      </c>
      <c r="Q103" s="209">
        <v>0.6</v>
      </c>
      <c r="R103" s="209">
        <v>0.885</v>
      </c>
      <c r="S103" s="88">
        <f t="shared" si="6"/>
        <v>501.58605685073655</v>
      </c>
      <c r="T103" s="317">
        <f t="shared" si="7"/>
        <v>6.297225184120086</v>
      </c>
      <c r="U103" s="317">
        <f>((E103+S103)*(Rates!$E$5/1000))/(2*J103)</f>
        <v>0.34356546010749234</v>
      </c>
      <c r="V103" s="424">
        <f>(E103*(Rates!$E$6/1000))/J103</f>
        <v>0</v>
      </c>
      <c r="W103" s="317">
        <f>((E103+S103)*(Rates!$E$4/100))/(2*J103)</f>
        <v>2.8630455008957694</v>
      </c>
      <c r="X103" s="424">
        <f t="shared" si="8"/>
        <v>2.0925023404030028</v>
      </c>
      <c r="Y103" s="318" t="str">
        <f>IF(F103="-","-",IF(I103="-",IF(F103=1,H103*Rates!$E$12*Rates!$E$7,IF(F103=2,H103*Rates!$E$13*Rates!$E$8,IF(F103=3,H103*Rates!$E$14*Rates!$E$9,"-"))),IF(F103=1,(E103/1000)*Rates!$E$12*Rates!$E$7,IF(F103=2,(E103/1000)*Rates!$E$13*Rates!$E$8,IF(F103=3,(E103/1000)*Rates!$E$14*Rates!$E$9,"-")))))</f>
        <v>-</v>
      </c>
      <c r="Z103" s="324" t="str">
        <f>IF(Y103="-","-",Y103*(Rates!$E$10/100))</f>
        <v>-</v>
      </c>
      <c r="AA103" s="317">
        <f t="shared" si="11"/>
        <v>0.625</v>
      </c>
      <c r="AB103" s="226"/>
      <c r="AC103" s="214"/>
      <c r="AD103" s="214"/>
      <c r="AE103" s="214"/>
      <c r="AI103" s="275"/>
    </row>
    <row r="104" spans="1:35" ht="15">
      <c r="A104" s="222">
        <v>82</v>
      </c>
      <c r="B104" s="405" t="s">
        <v>724</v>
      </c>
      <c r="C104" s="214">
        <v>3189.7352058403794</v>
      </c>
      <c r="D104" s="214">
        <v>3007.2393514894493</v>
      </c>
      <c r="E104" s="64">
        <f t="shared" si="10"/>
        <v>3098.4872786649144</v>
      </c>
      <c r="F104" s="315" t="s">
        <v>43</v>
      </c>
      <c r="G104" s="315">
        <v>10</v>
      </c>
      <c r="H104" s="315">
        <v>8</v>
      </c>
      <c r="I104" s="222">
        <v>5.4</v>
      </c>
      <c r="J104" s="316">
        <v>75</v>
      </c>
      <c r="K104" s="316">
        <v>10</v>
      </c>
      <c r="L104" s="269">
        <v>2000</v>
      </c>
      <c r="M104" s="209">
        <v>0.75</v>
      </c>
      <c r="N104" s="209">
        <v>0.8</v>
      </c>
      <c r="O104" s="209">
        <v>0.000251</v>
      </c>
      <c r="P104" s="209">
        <v>1.3</v>
      </c>
      <c r="Q104" s="209">
        <v>0.6</v>
      </c>
      <c r="R104" s="209">
        <v>0.885</v>
      </c>
      <c r="S104" s="88">
        <f aca="true" t="shared" si="12" ref="S104:S158">E104*Q104*(R104^K104)</f>
        <v>547.9408445625072</v>
      </c>
      <c r="T104" s="317">
        <f aca="true" t="shared" si="13" ref="T104:T158">(E104-S104)/(J104*K104)</f>
        <v>3.4007285788032093</v>
      </c>
      <c r="U104" s="317">
        <f>((E104+S104)*(Rates!$E$5/1000))/(2*J104)</f>
        <v>0.14585712492909686</v>
      </c>
      <c r="V104" s="424">
        <f>(E104*(Rates!$E$6/1000))/J104</f>
        <v>0</v>
      </c>
      <c r="W104" s="317">
        <f>((E104+S104)*(Rates!$E$4/100))/(2*J104)</f>
        <v>1.2154760410758074</v>
      </c>
      <c r="X104" s="424">
        <f aca="true" t="shared" si="14" ref="X104:X158">((E104*N104)*(AA104^P104))/(J104*K104)</f>
        <v>0.9234621274262539</v>
      </c>
      <c r="Y104" s="318" t="str">
        <f>IF(F104="-","-",IF(I104="-",IF(F104=1,H104*Rates!$E$12*Rates!$E$7,IF(F104=2,H104*Rates!$E$13*Rates!$E$8,IF(F104=3,H104*Rates!$E$14*Rates!$E$9,"-"))),IF(F104=1,(E104/1000)*Rates!$E$12*Rates!$E$7,IF(F104=2,(E104/1000)*Rates!$E$13*Rates!$E$8,IF(F104=3,(E104/1000)*Rates!$E$14*Rates!$E$9,"-")))))</f>
        <v>-</v>
      </c>
      <c r="Z104" s="324" t="str">
        <f>IF(Y104="-","-",Y104*(Rates!$E$10/100))</f>
        <v>-</v>
      </c>
      <c r="AA104" s="317">
        <f t="shared" si="11"/>
        <v>0.375</v>
      </c>
      <c r="AB104" s="226"/>
      <c r="AC104" s="214"/>
      <c r="AD104" s="214"/>
      <c r="AE104" s="214"/>
      <c r="AI104" s="275"/>
    </row>
    <row r="105" spans="1:35" ht="15">
      <c r="A105" s="222">
        <v>83</v>
      </c>
      <c r="B105" s="223" t="s">
        <v>725</v>
      </c>
      <c r="C105" s="214">
        <v>7699.360841683673</v>
      </c>
      <c r="D105" s="214">
        <v>3651.647783951475</v>
      </c>
      <c r="E105" s="64">
        <f t="shared" si="10"/>
        <v>5675.504312817574</v>
      </c>
      <c r="F105" s="315" t="s">
        <v>43</v>
      </c>
      <c r="G105" s="315">
        <v>11</v>
      </c>
      <c r="H105" s="315">
        <v>16</v>
      </c>
      <c r="I105" s="222">
        <v>3.8</v>
      </c>
      <c r="J105" s="316">
        <v>125</v>
      </c>
      <c r="K105" s="316">
        <v>15</v>
      </c>
      <c r="L105" s="269">
        <v>2500</v>
      </c>
      <c r="M105" s="209">
        <v>0.8</v>
      </c>
      <c r="N105" s="209">
        <v>1</v>
      </c>
      <c r="O105" s="209">
        <v>0.000251</v>
      </c>
      <c r="P105" s="209">
        <v>1.8</v>
      </c>
      <c r="Q105" s="209">
        <v>0.6</v>
      </c>
      <c r="R105" s="209">
        <v>0.885</v>
      </c>
      <c r="S105" s="88">
        <f t="shared" si="12"/>
        <v>544.8848951061282</v>
      </c>
      <c r="T105" s="317">
        <f t="shared" si="13"/>
        <v>2.736330356112771</v>
      </c>
      <c r="U105" s="317">
        <f>((E105+S105)*(Rates!$E$5/1000))/(2*J105)</f>
        <v>0.14928934099016886</v>
      </c>
      <c r="V105" s="424">
        <f>(E105*(Rates!$E$6/1000))/J105</f>
        <v>0</v>
      </c>
      <c r="W105" s="317">
        <f>((E105+S105)*(Rates!$E$4/100))/(2*J105)</f>
        <v>1.2440778415847407</v>
      </c>
      <c r="X105" s="424">
        <f t="shared" si="14"/>
        <v>1.8034888434335195</v>
      </c>
      <c r="Y105" s="318" t="str">
        <f>IF(F105="-","-",IF(I105="-",IF(F105=1,H105*Rates!$E$12*Rates!$E$7,IF(F105=2,H105*Rates!$E$13*Rates!$E$8,IF(F105=3,H105*Rates!$E$14*Rates!$E$9,"-"))),IF(F105=1,(E105/1000)*Rates!$E$12*Rates!$E$7,IF(F105=2,(E105/1000)*Rates!$E$13*Rates!$E$8,IF(F105=3,(E105/1000)*Rates!$E$14*Rates!$E$9,"-")))))</f>
        <v>-</v>
      </c>
      <c r="Z105" s="324" t="str">
        <f>IF(Y105="-","-",Y105*(Rates!$E$10/100))</f>
        <v>-</v>
      </c>
      <c r="AA105" s="317">
        <f t="shared" si="11"/>
        <v>0.75</v>
      </c>
      <c r="AB105" s="226"/>
      <c r="AC105" s="214"/>
      <c r="AD105" s="214"/>
      <c r="AE105" s="214"/>
      <c r="AI105" s="275"/>
    </row>
    <row r="106" spans="1:35" ht="15">
      <c r="A106" s="222">
        <v>84</v>
      </c>
      <c r="B106" s="405" t="s">
        <v>726</v>
      </c>
      <c r="C106" s="214">
        <v>3999.753467506561</v>
      </c>
      <c r="D106" s="214">
        <v>2933.22529738607</v>
      </c>
      <c r="E106" s="64">
        <f t="shared" si="10"/>
        <v>3466.489382446315</v>
      </c>
      <c r="F106" s="315" t="s">
        <v>43</v>
      </c>
      <c r="G106" s="315">
        <v>10</v>
      </c>
      <c r="H106" s="315">
        <v>7</v>
      </c>
      <c r="I106" s="222">
        <v>5</v>
      </c>
      <c r="J106" s="316">
        <v>100</v>
      </c>
      <c r="K106" s="316">
        <v>10</v>
      </c>
      <c r="L106" s="269">
        <v>2000</v>
      </c>
      <c r="M106" s="209">
        <v>0.8</v>
      </c>
      <c r="N106" s="209">
        <v>0.8</v>
      </c>
      <c r="O106" s="209">
        <v>0.00159</v>
      </c>
      <c r="P106" s="209">
        <v>1.4</v>
      </c>
      <c r="Q106" s="209">
        <v>0.6</v>
      </c>
      <c r="R106" s="209">
        <v>0.885</v>
      </c>
      <c r="S106" s="88">
        <f t="shared" si="12"/>
        <v>613.0188537365984</v>
      </c>
      <c r="T106" s="317">
        <f t="shared" si="13"/>
        <v>2.8534705287097166</v>
      </c>
      <c r="U106" s="317">
        <f>((E106+S106)*(Rates!$E$5/1000))/(2*J106)</f>
        <v>0.12238524708548741</v>
      </c>
      <c r="V106" s="424">
        <f>(E106*(Rates!$E$6/1000))/J106</f>
        <v>0</v>
      </c>
      <c r="W106" s="317">
        <f>((E106+S106)*(Rates!$E$4/100))/(2*J106)</f>
        <v>1.0198770590457285</v>
      </c>
      <c r="X106" s="424">
        <f t="shared" si="14"/>
        <v>1.050843076921256</v>
      </c>
      <c r="Y106" s="318" t="str">
        <f>IF(F106="-","-",IF(I106="-",IF(F106=1,H106*Rates!$E$12*Rates!$E$7,IF(F106=2,H106*Rates!$E$13*Rates!$E$8,IF(F106=3,H106*Rates!$E$14*Rates!$E$9,"-"))),IF(F106=1,(E106/1000)*Rates!$E$12*Rates!$E$7,IF(F106=2,(E106/1000)*Rates!$E$13*Rates!$E$8,IF(F106=3,(E106/1000)*Rates!$E$14*Rates!$E$9,"-")))))</f>
        <v>-</v>
      </c>
      <c r="Z106" s="324" t="str">
        <f>IF(Y106="-","-",Y106*(Rates!$E$10/100))</f>
        <v>-</v>
      </c>
      <c r="AA106" s="317">
        <f t="shared" si="11"/>
        <v>0.5</v>
      </c>
      <c r="AB106" s="226"/>
      <c r="AC106" s="214"/>
      <c r="AD106" s="214"/>
      <c r="AE106" s="214"/>
      <c r="AI106" s="275"/>
    </row>
    <row r="107" spans="1:35" ht="15">
      <c r="A107" s="227">
        <v>84.1</v>
      </c>
      <c r="B107" s="223" t="s">
        <v>858</v>
      </c>
      <c r="C107" s="214">
        <v>6025.5</v>
      </c>
      <c r="D107" s="214">
        <v>6020</v>
      </c>
      <c r="E107" s="64">
        <f t="shared" si="10"/>
        <v>6022.75</v>
      </c>
      <c r="F107" s="315" t="s">
        <v>43</v>
      </c>
      <c r="G107" s="315">
        <v>10</v>
      </c>
      <c r="H107" s="315">
        <v>14</v>
      </c>
      <c r="I107" s="222">
        <v>5</v>
      </c>
      <c r="J107" s="316">
        <v>100</v>
      </c>
      <c r="K107" s="316">
        <v>10</v>
      </c>
      <c r="L107" s="269">
        <v>2000</v>
      </c>
      <c r="M107" s="209">
        <v>0.8</v>
      </c>
      <c r="N107" s="209">
        <v>0.8</v>
      </c>
      <c r="O107" s="209">
        <v>0.00159</v>
      </c>
      <c r="P107" s="209">
        <v>1.4</v>
      </c>
      <c r="Q107" s="209">
        <v>0.6</v>
      </c>
      <c r="R107" s="209">
        <v>0.885</v>
      </c>
      <c r="S107" s="88">
        <f t="shared" si="12"/>
        <v>1065.0715735747033</v>
      </c>
      <c r="T107" s="317">
        <f t="shared" si="13"/>
        <v>4.957678426425296</v>
      </c>
      <c r="U107" s="317">
        <v>0.20953661220787445</v>
      </c>
      <c r="V107" s="90">
        <v>0</v>
      </c>
      <c r="W107" s="317">
        <v>3.143049183118117</v>
      </c>
      <c r="X107" s="90">
        <f t="shared" si="14"/>
        <v>1.8257563901901002</v>
      </c>
      <c r="Y107" s="318" t="s">
        <v>43</v>
      </c>
      <c r="Z107" s="324" t="s">
        <v>43</v>
      </c>
      <c r="AA107" s="317">
        <f t="shared" si="11"/>
        <v>0.5</v>
      </c>
      <c r="AB107" s="226"/>
      <c r="AC107" s="214"/>
      <c r="AD107" s="214"/>
      <c r="AE107" s="214"/>
      <c r="AI107" s="275"/>
    </row>
    <row r="108" spans="1:35" ht="15">
      <c r="A108" s="222">
        <v>85</v>
      </c>
      <c r="B108" s="405" t="s">
        <v>727</v>
      </c>
      <c r="C108" s="214">
        <v>1955.3932296339487</v>
      </c>
      <c r="D108" s="214">
        <v>1909.3583184060003</v>
      </c>
      <c r="E108" s="64">
        <f t="shared" si="10"/>
        <v>1932.3757740199744</v>
      </c>
      <c r="F108" s="315" t="s">
        <v>43</v>
      </c>
      <c r="G108" s="315">
        <v>10</v>
      </c>
      <c r="H108" s="315">
        <v>4.5</v>
      </c>
      <c r="I108" s="222">
        <v>2</v>
      </c>
      <c r="J108" s="316">
        <v>50</v>
      </c>
      <c r="K108" s="316">
        <v>10</v>
      </c>
      <c r="L108" s="269">
        <v>1000</v>
      </c>
      <c r="M108" s="209">
        <v>0.65</v>
      </c>
      <c r="N108" s="209">
        <v>0.95</v>
      </c>
      <c r="O108" s="209">
        <v>0.000251</v>
      </c>
      <c r="P108" s="209">
        <v>1.3</v>
      </c>
      <c r="Q108" s="209">
        <v>0.6</v>
      </c>
      <c r="R108" s="209">
        <v>0.885</v>
      </c>
      <c r="S108" s="88">
        <f t="shared" si="12"/>
        <v>341.7240473825228</v>
      </c>
      <c r="T108" s="317">
        <f t="shared" si="13"/>
        <v>3.1813034532749036</v>
      </c>
      <c r="U108" s="317">
        <f>((E108+S108)*(Rates!$E$5/1000))/(2*J108)</f>
        <v>0.13644598928414983</v>
      </c>
      <c r="V108" s="424">
        <f>(E108*(Rates!$E$6/1000))/J108</f>
        <v>0</v>
      </c>
      <c r="W108" s="317">
        <f>((E108+S108)*(Rates!$E$4/100))/(2*J108)</f>
        <v>1.1370499107012486</v>
      </c>
      <c r="X108" s="424">
        <f t="shared" si="14"/>
        <v>1.4910980104530365</v>
      </c>
      <c r="Y108" s="318" t="str">
        <f>IF(F108="-","-",IF(I108="-",IF(F108=1,H108*Rates!$E$12*Rates!$E$7,IF(F108=2,H108*Rates!$E$13*Rates!$E$8,IF(F108=3,H108*Rates!$E$14*Rates!$E$9,"-"))),IF(F108=1,(E108/1000)*Rates!$E$12*Rates!$E$7,IF(F108=2,(E108/1000)*Rates!$E$13*Rates!$E$8,IF(F108=3,(E108/1000)*Rates!$E$14*Rates!$E$9,"-")))))</f>
        <v>-</v>
      </c>
      <c r="Z108" s="324" t="str">
        <f>IF(Y108="-","-",Y108*(Rates!$E$10/100))</f>
        <v>-</v>
      </c>
      <c r="AA108" s="317">
        <f t="shared" si="11"/>
        <v>0.5</v>
      </c>
      <c r="AB108" s="226"/>
      <c r="AC108" s="214"/>
      <c r="AD108" s="214"/>
      <c r="AE108" s="214"/>
      <c r="AH108" s="275"/>
      <c r="AI108" s="275"/>
    </row>
    <row r="109" spans="1:35" ht="15">
      <c r="A109" s="222">
        <v>86</v>
      </c>
      <c r="B109" s="405" t="s">
        <v>728</v>
      </c>
      <c r="C109" s="214">
        <v>2749.77172917274</v>
      </c>
      <c r="D109" s="214">
        <v>2470.2323244377626</v>
      </c>
      <c r="E109" s="64">
        <f t="shared" si="10"/>
        <v>2610.0020268052513</v>
      </c>
      <c r="F109" s="315" t="s">
        <v>43</v>
      </c>
      <c r="G109" s="315">
        <v>10</v>
      </c>
      <c r="H109" s="315">
        <v>9</v>
      </c>
      <c r="I109" s="222">
        <v>4.3</v>
      </c>
      <c r="J109" s="316">
        <v>50</v>
      </c>
      <c r="K109" s="316">
        <v>10</v>
      </c>
      <c r="L109" s="269">
        <v>1000</v>
      </c>
      <c r="M109" s="209">
        <v>0.81</v>
      </c>
      <c r="N109" s="209">
        <v>1.8</v>
      </c>
      <c r="O109" s="209">
        <v>0.00251</v>
      </c>
      <c r="P109" s="209">
        <v>1.3</v>
      </c>
      <c r="Q109" s="209">
        <v>0.6</v>
      </c>
      <c r="R109" s="209">
        <v>0.885</v>
      </c>
      <c r="S109" s="88">
        <f t="shared" si="12"/>
        <v>461.55642617120645</v>
      </c>
      <c r="T109" s="317">
        <f t="shared" si="13"/>
        <v>4.29689120126809</v>
      </c>
      <c r="U109" s="317">
        <f>((E109+S109)*(Rates!$E$5/1000))/(2*J109)</f>
        <v>0.18429350717858747</v>
      </c>
      <c r="V109" s="424">
        <f>(E109*(Rates!$E$6/1000))/J109</f>
        <v>0</v>
      </c>
      <c r="W109" s="317">
        <f>((E109+S109)*(Rates!$E$4/100))/(2*J109)</f>
        <v>1.5357792264882288</v>
      </c>
      <c r="X109" s="424">
        <f t="shared" si="14"/>
        <v>3.815964721380954</v>
      </c>
      <c r="Y109" s="318" t="str">
        <f>IF(F109="-","-",IF(I109="-",IF(F109=1,H109*Rates!$E$12*Rates!$E$7,IF(F109=2,H109*Rates!$E$13*Rates!$E$8,IF(F109=3,H109*Rates!$E$14*Rates!$E$9,"-"))),IF(F109=1,(E109/1000)*Rates!$E$12*Rates!$E$7,IF(F109=2,(E109/1000)*Rates!$E$13*Rates!$E$8,IF(F109=3,(E109/1000)*Rates!$E$14*Rates!$E$9,"-")))))</f>
        <v>-</v>
      </c>
      <c r="Z109" s="324" t="str">
        <f>IF(Y109="-","-",Y109*(Rates!$E$10/100))</f>
        <v>-</v>
      </c>
      <c r="AA109" s="317">
        <f t="shared" si="11"/>
        <v>0.5</v>
      </c>
      <c r="AB109" s="226"/>
      <c r="AC109" s="214"/>
      <c r="AD109" s="214"/>
      <c r="AE109" s="214"/>
      <c r="AH109" s="275"/>
      <c r="AI109" s="275"/>
    </row>
    <row r="110" spans="1:35" ht="15">
      <c r="A110" s="222">
        <v>87</v>
      </c>
      <c r="B110" s="223" t="s">
        <v>729</v>
      </c>
      <c r="C110" s="214">
        <v>1955.3932296339487</v>
      </c>
      <c r="D110" s="214">
        <v>1909.3583184060003</v>
      </c>
      <c r="E110" s="64">
        <f t="shared" si="10"/>
        <v>1932.3757740199744</v>
      </c>
      <c r="F110" s="315" t="s">
        <v>43</v>
      </c>
      <c r="G110" s="315">
        <v>11</v>
      </c>
      <c r="H110" s="315">
        <v>6</v>
      </c>
      <c r="I110" s="222">
        <v>3.8</v>
      </c>
      <c r="J110" s="316">
        <v>100</v>
      </c>
      <c r="K110" s="316">
        <v>10</v>
      </c>
      <c r="L110" s="269">
        <v>2000</v>
      </c>
      <c r="M110" s="209">
        <v>0.65</v>
      </c>
      <c r="N110" s="209">
        <v>0.65</v>
      </c>
      <c r="O110" s="209">
        <v>0.000251</v>
      </c>
      <c r="P110" s="209">
        <v>1.6</v>
      </c>
      <c r="Q110" s="209">
        <v>0.6</v>
      </c>
      <c r="R110" s="209">
        <v>0.885</v>
      </c>
      <c r="S110" s="88">
        <f t="shared" si="12"/>
        <v>341.7240473825228</v>
      </c>
      <c r="T110" s="317">
        <f t="shared" si="13"/>
        <v>1.5906517266374518</v>
      </c>
      <c r="U110" s="317">
        <f>((E110+S110)*(Rates!$E$5/1000))/(2*J110)</f>
        <v>0.06822299464207492</v>
      </c>
      <c r="V110" s="424">
        <f>(E110*(Rates!$E$6/1000))/J110</f>
        <v>0</v>
      </c>
      <c r="W110" s="317">
        <f>((E110+S110)*(Rates!$E$4/100))/(2*J110)</f>
        <v>0.5685249553506243</v>
      </c>
      <c r="X110" s="424">
        <f t="shared" si="14"/>
        <v>0.4143400820658533</v>
      </c>
      <c r="Y110" s="318" t="str">
        <f>IF(F110="-","-",IF(I110="-",IF(F110=1,H110*Rates!$E$12*Rates!$E$7,IF(F110=2,H110*Rates!$E$13*Rates!$E$8,IF(F110=3,H110*Rates!$E$14*Rates!$E$9,"-"))),IF(F110=1,(E110/1000)*Rates!$E$12*Rates!$E$7,IF(F110=2,(E110/1000)*Rates!$E$13*Rates!$E$8,IF(F110=3,(E110/1000)*Rates!$E$14*Rates!$E$9,"-")))))</f>
        <v>-</v>
      </c>
      <c r="Z110" s="324" t="str">
        <f>IF(Y110="-","-",Y110*(Rates!$E$10/100))</f>
        <v>-</v>
      </c>
      <c r="AA110" s="317">
        <f t="shared" si="11"/>
        <v>0.5</v>
      </c>
      <c r="AB110" s="226"/>
      <c r="AC110" s="214"/>
      <c r="AD110" s="214"/>
      <c r="AE110" s="214"/>
      <c r="AH110" s="275"/>
      <c r="AI110" s="275"/>
    </row>
    <row r="111" spans="1:35" ht="15">
      <c r="A111" s="222">
        <v>88</v>
      </c>
      <c r="B111" s="405" t="s">
        <v>730</v>
      </c>
      <c r="C111" s="214">
        <v>3666.3623055636535</v>
      </c>
      <c r="D111" s="214">
        <v>3580.04684701125</v>
      </c>
      <c r="E111" s="64">
        <f t="shared" si="10"/>
        <v>3623.204576287452</v>
      </c>
      <c r="F111" s="315" t="s">
        <v>43</v>
      </c>
      <c r="G111" s="315">
        <v>10</v>
      </c>
      <c r="H111" s="315">
        <v>5</v>
      </c>
      <c r="I111" s="222">
        <v>5</v>
      </c>
      <c r="J111" s="316">
        <v>100</v>
      </c>
      <c r="K111" s="316">
        <v>10</v>
      </c>
      <c r="L111" s="269">
        <v>1000</v>
      </c>
      <c r="M111" s="209">
        <v>0.7</v>
      </c>
      <c r="N111" s="209">
        <v>0.5</v>
      </c>
      <c r="O111" s="209">
        <v>0.00251</v>
      </c>
      <c r="P111" s="209">
        <v>1.3</v>
      </c>
      <c r="Q111" s="209">
        <v>0.5</v>
      </c>
      <c r="R111" s="209">
        <v>0.895</v>
      </c>
      <c r="S111" s="88">
        <f t="shared" si="12"/>
        <v>597.4385107669806</v>
      </c>
      <c r="T111" s="317">
        <f t="shared" si="13"/>
        <v>3.0257660655204712</v>
      </c>
      <c r="U111" s="317">
        <f>((E111+S111)*(Rates!$E$5/1000))/(2*J111)</f>
        <v>0.126619292611633</v>
      </c>
      <c r="V111" s="424">
        <f>(E111*(Rates!$E$6/1000))/J111</f>
        <v>0</v>
      </c>
      <c r="W111" s="317">
        <f>((E111+S111)*(Rates!$E$4/100))/(2*J111)</f>
        <v>1.0551607717636082</v>
      </c>
      <c r="X111" s="424">
        <f t="shared" si="14"/>
        <v>1.811602288143726</v>
      </c>
      <c r="Y111" s="318" t="str">
        <f>IF(F111="-","-",IF(I111="-",IF(F111=1,H111*Rates!$E$12*Rates!$E$7,IF(F111=2,H111*Rates!$E$13*Rates!$E$8,IF(F111=3,H111*Rates!$E$14*Rates!$E$9,"-"))),IF(F111=1,(E111/1000)*Rates!$E$12*Rates!$E$7,IF(F111=2,(E111/1000)*Rates!$E$13*Rates!$E$8,IF(F111=3,(E111/1000)*Rates!$E$14*Rates!$E$9,"-")))))</f>
        <v>-</v>
      </c>
      <c r="Z111" s="324" t="str">
        <f>IF(Y111="-","-",Y111*(Rates!$E$10/100))</f>
        <v>-</v>
      </c>
      <c r="AA111" s="317">
        <f t="shared" si="11"/>
        <v>1</v>
      </c>
      <c r="AB111" s="226"/>
      <c r="AC111" s="214"/>
      <c r="AD111" s="214"/>
      <c r="AE111" s="214"/>
      <c r="AH111" s="275"/>
      <c r="AI111" s="275"/>
    </row>
    <row r="112" spans="1:35" ht="15">
      <c r="A112" s="222">
        <v>89</v>
      </c>
      <c r="B112" s="405" t="s">
        <v>731</v>
      </c>
      <c r="C112" s="214">
        <v>24619.011821475677</v>
      </c>
      <c r="D112" s="214">
        <v>24039.417903206042</v>
      </c>
      <c r="E112" s="64">
        <f t="shared" si="10"/>
        <v>24329.214862340858</v>
      </c>
      <c r="F112" s="315" t="s">
        <v>43</v>
      </c>
      <c r="G112" s="315">
        <v>13</v>
      </c>
      <c r="H112" s="315">
        <v>8</v>
      </c>
      <c r="I112" s="222">
        <v>4</v>
      </c>
      <c r="J112" s="316">
        <v>100</v>
      </c>
      <c r="K112" s="316">
        <v>10</v>
      </c>
      <c r="L112" s="269">
        <v>1500</v>
      </c>
      <c r="M112" s="209">
        <v>0.6</v>
      </c>
      <c r="N112" s="209">
        <v>1.2</v>
      </c>
      <c r="O112" s="209">
        <v>0.00251</v>
      </c>
      <c r="P112" s="209">
        <v>1.3</v>
      </c>
      <c r="Q112" s="209">
        <v>0.56</v>
      </c>
      <c r="R112" s="209">
        <v>0.885</v>
      </c>
      <c r="S112" s="88">
        <f t="shared" si="12"/>
        <v>4015.5850422900517</v>
      </c>
      <c r="T112" s="317">
        <f t="shared" si="13"/>
        <v>20.313629820050807</v>
      </c>
      <c r="U112" s="317">
        <f>((E112+S112)*(Rates!$E$5/1000))/(2*J112)</f>
        <v>0.8503439971389273</v>
      </c>
      <c r="V112" s="424">
        <f>(E112*(Rates!$E$6/1000))/J112</f>
        <v>0</v>
      </c>
      <c r="W112" s="317">
        <f>((E112+S112)*(Rates!$E$4/100))/(2*J112)</f>
        <v>7.086199976157727</v>
      </c>
      <c r="X112" s="424">
        <f t="shared" si="14"/>
        <v>17.234183118404754</v>
      </c>
      <c r="Y112" s="318" t="str">
        <f>IF(F112="-","-",IF(I112="-",IF(F112=1,H112*Rates!$E$12*Rates!$E$7,IF(F112=2,H112*Rates!$E$13*Rates!$E$8,IF(F112=3,H112*Rates!$E$14*Rates!$E$9,"-"))),IF(F112=1,(E112/1000)*Rates!$E$12*Rates!$E$7,IF(F112=2,(E112/1000)*Rates!$E$13*Rates!$E$8,IF(F112=3,(E112/1000)*Rates!$E$14*Rates!$E$9,"-")))))</f>
        <v>-</v>
      </c>
      <c r="Z112" s="324" t="str">
        <f>IF(Y112="-","-",Y112*(Rates!$E$10/100))</f>
        <v>-</v>
      </c>
      <c r="AA112" s="317">
        <f t="shared" si="11"/>
        <v>0.6666666666666666</v>
      </c>
      <c r="AB112" s="226"/>
      <c r="AC112" s="214"/>
      <c r="AD112" s="214"/>
      <c r="AE112" s="214"/>
      <c r="AH112" s="275"/>
      <c r="AI112" s="275"/>
    </row>
    <row r="113" spans="1:35" ht="15">
      <c r="A113" s="222">
        <v>90</v>
      </c>
      <c r="B113" s="405" t="s">
        <v>732</v>
      </c>
      <c r="C113" s="214">
        <v>33608.32113433349</v>
      </c>
      <c r="D113" s="214">
        <v>32817.09609760313</v>
      </c>
      <c r="E113" s="64">
        <f t="shared" si="10"/>
        <v>33212.70861596831</v>
      </c>
      <c r="F113" s="315" t="s">
        <v>43</v>
      </c>
      <c r="G113" s="315">
        <v>13</v>
      </c>
      <c r="H113" s="315">
        <v>6</v>
      </c>
      <c r="I113" s="222">
        <v>4</v>
      </c>
      <c r="J113" s="328">
        <v>75</v>
      </c>
      <c r="K113" s="328">
        <v>10</v>
      </c>
      <c r="L113" s="269">
        <v>1500</v>
      </c>
      <c r="M113" s="329">
        <v>0.6</v>
      </c>
      <c r="N113" s="329">
        <v>1.2</v>
      </c>
      <c r="O113" s="329">
        <v>0.00251</v>
      </c>
      <c r="P113" s="329">
        <v>1.3</v>
      </c>
      <c r="Q113" s="329">
        <v>0.56</v>
      </c>
      <c r="R113" s="329">
        <v>0.885</v>
      </c>
      <c r="S113" s="88">
        <f t="shared" si="12"/>
        <v>5481.823260094638</v>
      </c>
      <c r="T113" s="317">
        <f t="shared" si="13"/>
        <v>36.97451380783156</v>
      </c>
      <c r="U113" s="317">
        <f>((E113+S113)*(Rates!$E$5/1000))/(2*J113)</f>
        <v>1.5477812750425177</v>
      </c>
      <c r="V113" s="424">
        <f>(E113*(Rates!$E$6/1000))/J113</f>
        <v>0</v>
      </c>
      <c r="W113" s="317">
        <f>((E113+S113)*(Rates!$E$4/100))/(2*J113)</f>
        <v>12.898177292020982</v>
      </c>
      <c r="X113" s="424">
        <f t="shared" si="14"/>
        <v>21.581681730241314</v>
      </c>
      <c r="Y113" s="318" t="str">
        <f>IF(F113="-","-",IF(I113="-",IF(F113=1,H113*Rates!$E$12*Rates!$E$7,IF(F113=2,H113*Rates!$E$13*Rates!$E$8,IF(F113=3,H113*Rates!$E$14*Rates!$E$9,"-"))),IF(F113=1,(E113/1000)*Rates!$E$12*Rates!$E$7,IF(F113=2,(E113/1000)*Rates!$E$13*Rates!$E$8,IF(F113=3,(E113/1000)*Rates!$E$14*Rates!$E$9,"-")))))</f>
        <v>-</v>
      </c>
      <c r="Z113" s="324" t="str">
        <f>IF(Y113="-","-",Y113*(Rates!$E$10/100))</f>
        <v>-</v>
      </c>
      <c r="AA113" s="317">
        <f t="shared" si="11"/>
        <v>0.5</v>
      </c>
      <c r="AB113" s="226"/>
      <c r="AC113" s="214"/>
      <c r="AD113" s="214"/>
      <c r="AE113" s="214"/>
      <c r="AH113" s="275"/>
      <c r="AI113" s="275"/>
    </row>
    <row r="114" spans="1:35" ht="15">
      <c r="A114" s="222">
        <v>91</v>
      </c>
      <c r="B114" s="405" t="s">
        <v>733</v>
      </c>
      <c r="C114" s="214">
        <v>9013.140667843983</v>
      </c>
      <c r="D114" s="214">
        <v>8800.948498902655</v>
      </c>
      <c r="E114" s="64">
        <f t="shared" si="10"/>
        <v>8907.04458337332</v>
      </c>
      <c r="F114" s="315" t="s">
        <v>43</v>
      </c>
      <c r="G114" s="315">
        <v>12</v>
      </c>
      <c r="H114" s="315">
        <v>8</v>
      </c>
      <c r="I114" s="222">
        <v>4.5</v>
      </c>
      <c r="J114" s="316">
        <v>100</v>
      </c>
      <c r="K114" s="316">
        <v>10</v>
      </c>
      <c r="L114" s="269">
        <v>2000</v>
      </c>
      <c r="M114" s="209">
        <v>0.4</v>
      </c>
      <c r="N114" s="209">
        <v>0.85</v>
      </c>
      <c r="O114" s="209">
        <v>0.00251</v>
      </c>
      <c r="P114" s="209">
        <v>1.3</v>
      </c>
      <c r="Q114" s="209">
        <v>0.56</v>
      </c>
      <c r="R114" s="209">
        <v>0.885</v>
      </c>
      <c r="S114" s="88">
        <f t="shared" si="12"/>
        <v>1470.1253288435619</v>
      </c>
      <c r="T114" s="317">
        <f t="shared" si="13"/>
        <v>7.436919254529758</v>
      </c>
      <c r="U114" s="317">
        <f>((E114+S114)*(Rates!$E$5/1000))/(2*J114)</f>
        <v>0.3113150973665065</v>
      </c>
      <c r="V114" s="424">
        <f>(E114*(Rates!$E$6/1000))/J114</f>
        <v>0</v>
      </c>
      <c r="W114" s="317">
        <f>((E114+S114)*(Rates!$E$4/100))/(2*J114)</f>
        <v>2.5942924780542205</v>
      </c>
      <c r="X114" s="424">
        <f t="shared" si="14"/>
        <v>3.074776530601142</v>
      </c>
      <c r="Y114" s="318" t="str">
        <f>IF(F114="-","-",IF(I114="-",IF(F114=1,H114*Rates!$E$12*Rates!$E$7,IF(F114=2,H114*Rates!$E$13*Rates!$E$8,IF(F114=3,H114*Rates!$E$14*Rates!$E$9,"-"))),IF(F114=1,(E114/1000)*Rates!$E$12*Rates!$E$7,IF(F114=2,(E114/1000)*Rates!$E$13*Rates!$E$8,IF(F114=3,(E114/1000)*Rates!$E$14*Rates!$E$9,"-")))))</f>
        <v>-</v>
      </c>
      <c r="Z114" s="324" t="str">
        <f>IF(Y114="-","-",Y114*(Rates!$E$10/100))</f>
        <v>-</v>
      </c>
      <c r="AA114" s="317">
        <f t="shared" si="11"/>
        <v>0.5</v>
      </c>
      <c r="AB114" s="226"/>
      <c r="AC114" s="214"/>
      <c r="AD114" s="214"/>
      <c r="AE114" s="214"/>
      <c r="AH114" s="275"/>
      <c r="AI114" s="275"/>
    </row>
    <row r="115" spans="1:35" ht="15">
      <c r="A115" s="222">
        <v>92</v>
      </c>
      <c r="B115" s="405" t="s">
        <v>734</v>
      </c>
      <c r="C115" s="214">
        <v>1099.908691669096</v>
      </c>
      <c r="D115" s="214">
        <v>1074.0140541033752</v>
      </c>
      <c r="E115" s="64">
        <f t="shared" si="10"/>
        <v>1086.9613728862355</v>
      </c>
      <c r="F115" s="315" t="s">
        <v>43</v>
      </c>
      <c r="G115" s="315">
        <v>10</v>
      </c>
      <c r="H115" s="315">
        <v>12</v>
      </c>
      <c r="I115" s="222">
        <v>4.5</v>
      </c>
      <c r="J115" s="316">
        <v>75</v>
      </c>
      <c r="K115" s="316">
        <v>15</v>
      </c>
      <c r="L115" s="269">
        <v>3000</v>
      </c>
      <c r="M115" s="209">
        <v>0.65</v>
      </c>
      <c r="N115" s="209">
        <v>0.65</v>
      </c>
      <c r="O115" s="209">
        <v>0.000251</v>
      </c>
      <c r="P115" s="209">
        <v>1.8</v>
      </c>
      <c r="Q115" s="209">
        <v>0.6</v>
      </c>
      <c r="R115" s="209">
        <v>0.885</v>
      </c>
      <c r="S115" s="88">
        <f t="shared" si="12"/>
        <v>104.35527858060964</v>
      </c>
      <c r="T115" s="317">
        <f t="shared" si="13"/>
        <v>0.8734276393827786</v>
      </c>
      <c r="U115" s="317">
        <f>((E115+S115)*(Rates!$E$5/1000))/(2*J115)</f>
        <v>0.047652666058673805</v>
      </c>
      <c r="V115" s="424">
        <f>(E115*(Rates!$E$6/1000))/J115</f>
        <v>0</v>
      </c>
      <c r="W115" s="317">
        <f>((E115+S115)*(Rates!$E$4/100))/(2*J115)</f>
        <v>0.39710555048894836</v>
      </c>
      <c r="X115" s="424">
        <f t="shared" si="14"/>
        <v>0.10745613779538139</v>
      </c>
      <c r="Y115" s="318" t="str">
        <f>IF(F115="-","-",IF(I115="-",IF(F115=1,H115*Rates!$E$12*Rates!$E$7,IF(F115=2,H115*Rates!$E$13*Rates!$E$8,IF(F115=3,H115*Rates!$E$14*Rates!$E$9,"-"))),IF(F115=1,(E115/1000)*Rates!$E$12*Rates!$E$7,IF(F115=2,(E115/1000)*Rates!$E$13*Rates!$E$8,IF(F115=3,(E115/1000)*Rates!$E$14*Rates!$E$9,"-")))))</f>
        <v>-</v>
      </c>
      <c r="Z115" s="324" t="str">
        <f>IF(Y115="-","-",Y115*(Rates!$E$10/100))</f>
        <v>-</v>
      </c>
      <c r="AA115" s="317">
        <f t="shared" si="11"/>
        <v>0.375</v>
      </c>
      <c r="AB115" s="226"/>
      <c r="AC115" s="214"/>
      <c r="AD115" s="214"/>
      <c r="AE115" s="214"/>
      <c r="AH115" s="275"/>
      <c r="AI115" s="275"/>
    </row>
    <row r="116" spans="1:35" ht="15">
      <c r="A116" s="222">
        <v>93</v>
      </c>
      <c r="B116" s="405" t="s">
        <v>735</v>
      </c>
      <c r="C116" s="214">
        <v>18331.811527818267</v>
      </c>
      <c r="D116" s="214">
        <v>17900.234235056258</v>
      </c>
      <c r="E116" s="64">
        <f t="shared" si="10"/>
        <v>18116.02288143726</v>
      </c>
      <c r="F116" s="315" t="s">
        <v>43</v>
      </c>
      <c r="G116" s="315">
        <v>10</v>
      </c>
      <c r="H116" s="315">
        <v>20</v>
      </c>
      <c r="I116" s="222">
        <v>2.5</v>
      </c>
      <c r="J116" s="316">
        <v>80</v>
      </c>
      <c r="K116" s="316">
        <v>10</v>
      </c>
      <c r="L116" s="269">
        <v>1000</v>
      </c>
      <c r="M116" s="209">
        <v>0.9</v>
      </c>
      <c r="N116" s="209">
        <v>0.7</v>
      </c>
      <c r="O116" s="209">
        <v>0.000251</v>
      </c>
      <c r="P116" s="209">
        <v>1.8</v>
      </c>
      <c r="Q116" s="209">
        <v>0.6</v>
      </c>
      <c r="R116" s="209">
        <v>0.885</v>
      </c>
      <c r="S116" s="88">
        <f t="shared" si="12"/>
        <v>3203.6629442111516</v>
      </c>
      <c r="T116" s="317">
        <f t="shared" si="13"/>
        <v>18.640449921532635</v>
      </c>
      <c r="U116" s="317">
        <f>((E116+S116)*(Rates!$E$5/1000))/(2*J116)</f>
        <v>0.7994882184618155</v>
      </c>
      <c r="V116" s="424">
        <f>(E116*(Rates!$E$6/1000))/J116</f>
        <v>0</v>
      </c>
      <c r="W116" s="317">
        <f>((E116+S116)*(Rates!$E$4/100))/(2*J116)</f>
        <v>6.662401820515129</v>
      </c>
      <c r="X116" s="424">
        <f t="shared" si="14"/>
        <v>10.607984833868422</v>
      </c>
      <c r="Y116" s="318" t="str">
        <f>IF(F116="-","-",IF(I116="-",IF(F116=1,H116*Rates!$E$12*Rates!$E$7,IF(F116=2,H116*Rates!$E$13*Rates!$E$8,IF(F116=3,H116*Rates!$E$14*Rates!$E$9,"-"))),IF(F116=1,(E116/1000)*Rates!$E$12*Rates!$E$7,IF(F116=2,(E116/1000)*Rates!$E$13*Rates!$E$8,IF(F116=3,(E116/1000)*Rates!$E$14*Rates!$E$9,"-")))))</f>
        <v>-</v>
      </c>
      <c r="Z116" s="324" t="str">
        <f>IF(Y116="-","-",Y116*(Rates!$E$10/100))</f>
        <v>-</v>
      </c>
      <c r="AA116" s="317">
        <f t="shared" si="11"/>
        <v>0.8</v>
      </c>
      <c r="AB116" s="226"/>
      <c r="AC116" s="214"/>
      <c r="AD116" s="214"/>
      <c r="AE116" s="214"/>
      <c r="AH116" s="275"/>
      <c r="AI116" s="275"/>
    </row>
    <row r="117" spans="1:35" ht="15">
      <c r="A117" s="222">
        <v>94</v>
      </c>
      <c r="B117" s="405" t="s">
        <v>736</v>
      </c>
      <c r="C117" s="214">
        <v>2672.1670603716434</v>
      </c>
      <c r="D117" s="214">
        <v>2609.257476996699</v>
      </c>
      <c r="E117" s="64">
        <f t="shared" si="10"/>
        <v>2640.7122686841712</v>
      </c>
      <c r="F117" s="315" t="s">
        <v>43</v>
      </c>
      <c r="G117" s="315">
        <v>10</v>
      </c>
      <c r="H117" s="315">
        <v>20</v>
      </c>
      <c r="I117" s="222">
        <v>5.3</v>
      </c>
      <c r="J117" s="316">
        <v>75</v>
      </c>
      <c r="K117" s="316">
        <v>15</v>
      </c>
      <c r="L117" s="269">
        <v>15000</v>
      </c>
      <c r="M117" s="209">
        <v>0.7</v>
      </c>
      <c r="N117" s="209">
        <v>0.65</v>
      </c>
      <c r="O117" s="209">
        <v>0.000251</v>
      </c>
      <c r="P117" s="209">
        <v>1.8</v>
      </c>
      <c r="Q117" s="209">
        <v>0.6</v>
      </c>
      <c r="R117" s="209">
        <v>0.885</v>
      </c>
      <c r="S117" s="88">
        <f t="shared" si="12"/>
        <v>253.52535179611445</v>
      </c>
      <c r="T117" s="317">
        <f t="shared" si="13"/>
        <v>2.121943926122717</v>
      </c>
      <c r="U117" s="317">
        <f>((E117+S117)*(Rates!$E$5/1000))/(2*J117)</f>
        <v>0.11576950481921143</v>
      </c>
      <c r="V117" s="424">
        <f>(E117*(Rates!$E$6/1000))/J117</f>
        <v>0</v>
      </c>
      <c r="W117" s="317">
        <f>((E117+S117)*(Rates!$E$4/100))/(2*J117)</f>
        <v>0.9647458734934287</v>
      </c>
      <c r="X117" s="424">
        <f t="shared" si="14"/>
        <v>0.014407618208478709</v>
      </c>
      <c r="Y117" s="318" t="str">
        <f>IF(F117="-","-",IF(I117="-",IF(F117=1,H117*Rates!$E$12*Rates!$E$7,IF(F117=2,H117*Rates!$E$13*Rates!$E$8,IF(F117=3,H117*Rates!$E$14*Rates!$E$9,"-"))),IF(F117=1,(E117/1000)*Rates!$E$12*Rates!$E$7,IF(F117=2,(E117/1000)*Rates!$E$13*Rates!$E$8,IF(F117=3,(E117/1000)*Rates!$E$14*Rates!$E$9,"-")))))</f>
        <v>-</v>
      </c>
      <c r="Z117" s="324" t="str">
        <f>IF(Y117="-","-",Y117*(Rates!$E$10/100))</f>
        <v>-</v>
      </c>
      <c r="AA117" s="317">
        <f t="shared" si="11"/>
        <v>0.075</v>
      </c>
      <c r="AB117" s="226"/>
      <c r="AC117" s="214"/>
      <c r="AD117" s="214"/>
      <c r="AE117" s="214"/>
      <c r="AH117" s="275"/>
      <c r="AI117" s="275"/>
    </row>
    <row r="118" spans="1:35" ht="15">
      <c r="A118" s="222">
        <v>95</v>
      </c>
      <c r="B118" s="405" t="s">
        <v>737</v>
      </c>
      <c r="C118" s="214">
        <v>5884.511500429666</v>
      </c>
      <c r="D118" s="214">
        <v>3007.2393514894493</v>
      </c>
      <c r="E118" s="64">
        <f t="shared" si="10"/>
        <v>4445.875425959557</v>
      </c>
      <c r="F118" s="315" t="s">
        <v>43</v>
      </c>
      <c r="G118" s="315">
        <v>11</v>
      </c>
      <c r="H118" s="315">
        <v>6</v>
      </c>
      <c r="I118" s="222">
        <v>4</v>
      </c>
      <c r="J118" s="316">
        <v>100</v>
      </c>
      <c r="K118" s="316">
        <v>12</v>
      </c>
      <c r="L118" s="269">
        <v>2500</v>
      </c>
      <c r="M118" s="209">
        <v>0.76</v>
      </c>
      <c r="N118" s="209">
        <v>1</v>
      </c>
      <c r="O118" s="209">
        <v>0.000251</v>
      </c>
      <c r="P118" s="209">
        <v>1.8</v>
      </c>
      <c r="Q118" s="209">
        <v>0.6</v>
      </c>
      <c r="R118" s="209">
        <v>0.885</v>
      </c>
      <c r="S118" s="88">
        <f t="shared" si="12"/>
        <v>615.7831321342077</v>
      </c>
      <c r="T118" s="317">
        <f t="shared" si="13"/>
        <v>3.191743578187791</v>
      </c>
      <c r="U118" s="317">
        <f>((E118+S118)*(Rates!$E$5/1000))/(2*J118)</f>
        <v>0.15184975674281292</v>
      </c>
      <c r="V118" s="424">
        <f>(E118*(Rates!$E$6/1000))/J118</f>
        <v>0</v>
      </c>
      <c r="W118" s="317">
        <f>((E118+S118)*(Rates!$E$4/100))/(2*J118)</f>
        <v>1.2654146395234411</v>
      </c>
      <c r="X118" s="424">
        <f t="shared" si="14"/>
        <v>0.9885764735455983</v>
      </c>
      <c r="Y118" s="318" t="str">
        <f>IF(F118="-","-",IF(I118="-",IF(F118=1,H118*Rates!$E$12*Rates!$E$7,IF(F118=2,H118*Rates!$E$13*Rates!$E$8,IF(F118=3,H118*Rates!$E$14*Rates!$E$9,"-"))),IF(F118=1,(E118/1000)*Rates!$E$12*Rates!$E$7,IF(F118=2,(E118/1000)*Rates!$E$13*Rates!$E$8,IF(F118=3,(E118/1000)*Rates!$E$14*Rates!$E$9,"-")))))</f>
        <v>-</v>
      </c>
      <c r="Z118" s="324" t="str">
        <f>IF(Y118="-","-",Y118*(Rates!$E$10/100))</f>
        <v>-</v>
      </c>
      <c r="AA118" s="317">
        <f t="shared" si="11"/>
        <v>0.48</v>
      </c>
      <c r="AB118" s="226"/>
      <c r="AC118" s="214"/>
      <c r="AD118" s="214"/>
      <c r="AE118" s="214"/>
      <c r="AH118" s="275"/>
      <c r="AI118" s="275"/>
    </row>
    <row r="119" spans="1:35" ht="15">
      <c r="A119" s="222">
        <v>96</v>
      </c>
      <c r="B119" s="405" t="s">
        <v>738</v>
      </c>
      <c r="C119" s="214">
        <v>8249.315187518223</v>
      </c>
      <c r="D119" s="214">
        <v>7303.29556790295</v>
      </c>
      <c r="E119" s="64">
        <f t="shared" si="10"/>
        <v>7776.305377710587</v>
      </c>
      <c r="F119" s="315" t="s">
        <v>43</v>
      </c>
      <c r="G119" s="315">
        <v>12</v>
      </c>
      <c r="H119" s="315">
        <v>14</v>
      </c>
      <c r="I119" s="222">
        <v>3.8</v>
      </c>
      <c r="J119" s="316">
        <v>150</v>
      </c>
      <c r="K119" s="316">
        <v>12</v>
      </c>
      <c r="L119" s="269">
        <v>2500</v>
      </c>
      <c r="M119" s="209">
        <v>0.8</v>
      </c>
      <c r="N119" s="209">
        <v>2</v>
      </c>
      <c r="O119" s="209">
        <v>0.000393</v>
      </c>
      <c r="P119" s="209">
        <v>1.3</v>
      </c>
      <c r="Q119" s="209">
        <v>0.6</v>
      </c>
      <c r="R119" s="209">
        <v>0.885</v>
      </c>
      <c r="S119" s="88">
        <f t="shared" si="12"/>
        <v>1077.0696933968181</v>
      </c>
      <c r="T119" s="317">
        <f t="shared" si="13"/>
        <v>3.721797602396538</v>
      </c>
      <c r="U119" s="317">
        <f>((E119+S119)*(Rates!$E$5/1000))/(2*J119)</f>
        <v>0.17706750142214808</v>
      </c>
      <c r="V119" s="424">
        <f>(E119*(Rates!$E$6/1000))/J119</f>
        <v>0</v>
      </c>
      <c r="W119" s="317">
        <f>((E119+S119)*(Rates!$E$4/100))/(2*J119)</f>
        <v>1.475562511851234</v>
      </c>
      <c r="X119" s="424">
        <f t="shared" si="14"/>
        <v>5.63719480515856</v>
      </c>
      <c r="Y119" s="318" t="str">
        <f>IF(F119="-","-",IF(I119="-",IF(F119=1,H119*Rates!$E$12*Rates!$E$7,IF(F119=2,H119*Rates!$E$13*Rates!$E$8,IF(F119=3,H119*Rates!$E$14*Rates!$E$9,"-"))),IF(F119=1,(E119/1000)*Rates!$E$12*Rates!$E$7,IF(F119=2,(E119/1000)*Rates!$E$13*Rates!$E$8,IF(F119=3,(E119/1000)*Rates!$E$14*Rates!$E$9,"-")))))</f>
        <v>-</v>
      </c>
      <c r="Z119" s="324" t="str">
        <f>IF(Y119="-","-",Y119*(Rates!$E$10/100))</f>
        <v>-</v>
      </c>
      <c r="AA119" s="317">
        <f t="shared" si="11"/>
        <v>0.72</v>
      </c>
      <c r="AB119" s="226"/>
      <c r="AC119" s="214"/>
      <c r="AD119" s="214"/>
      <c r="AE119" s="214"/>
      <c r="AH119" s="275"/>
      <c r="AI119" s="275"/>
    </row>
    <row r="120" spans="1:35" ht="15">
      <c r="A120" s="222">
        <v>96.1</v>
      </c>
      <c r="B120" s="405" t="s">
        <v>739</v>
      </c>
      <c r="C120" s="214">
        <v>8579.28779501895</v>
      </c>
      <c r="D120" s="214">
        <v>10740.14054103375</v>
      </c>
      <c r="E120" s="64">
        <f t="shared" si="10"/>
        <v>9659.71416802635</v>
      </c>
      <c r="F120" s="315" t="s">
        <v>43</v>
      </c>
      <c r="G120" s="315">
        <v>13</v>
      </c>
      <c r="H120" s="315">
        <v>16</v>
      </c>
      <c r="I120" s="222">
        <v>3.8</v>
      </c>
      <c r="J120" s="316">
        <v>150</v>
      </c>
      <c r="K120" s="316">
        <v>12</v>
      </c>
      <c r="L120" s="269">
        <v>2500</v>
      </c>
      <c r="M120" s="209">
        <v>0.8</v>
      </c>
      <c r="N120" s="209">
        <v>2</v>
      </c>
      <c r="O120" s="209">
        <v>0.000393</v>
      </c>
      <c r="P120" s="209">
        <v>1.3</v>
      </c>
      <c r="Q120" s="209">
        <v>0.6</v>
      </c>
      <c r="R120" s="209">
        <v>0.885</v>
      </c>
      <c r="S120" s="88">
        <f t="shared" si="12"/>
        <v>1337.934259510797</v>
      </c>
      <c r="T120" s="317">
        <f t="shared" si="13"/>
        <v>4.623211060286418</v>
      </c>
      <c r="U120" s="317">
        <f>((E120+S120)*(Rates!$E$5/1000))/(2*J120)</f>
        <v>0.21995296855074295</v>
      </c>
      <c r="V120" s="424">
        <f>(E120*(Rates!$E$6/1000))/J120</f>
        <v>0</v>
      </c>
      <c r="W120" s="317">
        <f>((E120+S120)*(Rates!$E$4/100))/(2*J120)</f>
        <v>1.832941404589525</v>
      </c>
      <c r="X120" s="424">
        <f t="shared" si="14"/>
        <v>7.002514418144718</v>
      </c>
      <c r="Y120" s="318" t="str">
        <f>IF(F120="-","-",IF(I120="-",IF(F120=1,H120*Rates!$E$12*Rates!$E$7,IF(F120=2,H120*Rates!$E$13*Rates!$E$8,IF(F120=3,H120*Rates!$E$14*Rates!$E$9,"-"))),IF(F120=1,(E120/1000)*Rates!$E$12*Rates!$E$7,IF(F120=2,(E120/1000)*Rates!$E$13*Rates!$E$8,IF(F120=3,(E120/1000)*Rates!$E$14*Rates!$E$9,"-")))))</f>
        <v>-</v>
      </c>
      <c r="Z120" s="324" t="str">
        <f>IF(Y120="-","-",Y120*(Rates!$E$10/100))</f>
        <v>-</v>
      </c>
      <c r="AA120" s="317">
        <f>(K120*J120)/L120</f>
        <v>0.72</v>
      </c>
      <c r="AB120" s="226"/>
      <c r="AC120" s="214"/>
      <c r="AD120" s="214"/>
      <c r="AE120" s="214"/>
      <c r="AH120" s="275"/>
      <c r="AI120" s="275"/>
    </row>
    <row r="121" spans="1:35" ht="15">
      <c r="A121" s="222">
        <v>97</v>
      </c>
      <c r="B121" s="405" t="s">
        <v>740</v>
      </c>
      <c r="C121" s="214">
        <v>18148.493412540083</v>
      </c>
      <c r="D121" s="214">
        <v>31146.40756899788</v>
      </c>
      <c r="E121" s="64">
        <f t="shared" si="10"/>
        <v>24647.450490768984</v>
      </c>
      <c r="F121" s="315" t="s">
        <v>43</v>
      </c>
      <c r="G121" s="315">
        <v>14</v>
      </c>
      <c r="H121" s="315">
        <v>14</v>
      </c>
      <c r="I121" s="222">
        <v>4</v>
      </c>
      <c r="J121" s="316">
        <v>100</v>
      </c>
      <c r="K121" s="316">
        <v>12</v>
      </c>
      <c r="L121" s="269">
        <v>1440</v>
      </c>
      <c r="M121" s="209">
        <v>0.75</v>
      </c>
      <c r="N121" s="209">
        <v>0.8</v>
      </c>
      <c r="O121" s="209">
        <v>0.000631</v>
      </c>
      <c r="P121" s="209">
        <v>1.6</v>
      </c>
      <c r="Q121" s="209">
        <v>0.6</v>
      </c>
      <c r="R121" s="209">
        <v>0.885</v>
      </c>
      <c r="S121" s="88">
        <f t="shared" si="12"/>
        <v>3413.834803761459</v>
      </c>
      <c r="T121" s="317">
        <f t="shared" si="13"/>
        <v>17.694679739172937</v>
      </c>
      <c r="U121" s="317">
        <f>((E121+S121)*(Rates!$E$5/1000))/(2*J121)</f>
        <v>0.8418385588359133</v>
      </c>
      <c r="V121" s="424">
        <f>(E121*(Rates!$E$6/1000))/J121</f>
        <v>0</v>
      </c>
      <c r="W121" s="317">
        <f>((E121+S121)*(Rates!$E$4/100))/(2*J121)</f>
        <v>7.015321323632611</v>
      </c>
      <c r="X121" s="424">
        <f t="shared" si="14"/>
        <v>12.274130888520917</v>
      </c>
      <c r="Y121" s="318" t="str">
        <f>IF(F121="-","-",IF(I121="-",IF(F121=1,H121*Rates!$E$12*Rates!$E$7,IF(F121=2,H121*Rates!$E$13*Rates!$E$8,IF(F121=3,H121*Rates!$E$14*Rates!$E$9,"-"))),IF(F121=1,(E121/1000)*Rates!$E$12*Rates!$E$7,IF(F121=2,(E121/1000)*Rates!$E$13*Rates!$E$8,IF(F121=3,(E121/1000)*Rates!$E$14*Rates!$E$9,"-")))))</f>
        <v>-</v>
      </c>
      <c r="Z121" s="324" t="str">
        <f>IF(Y121="-","-",Y121*(Rates!$E$10/100))</f>
        <v>-</v>
      </c>
      <c r="AA121" s="317">
        <f t="shared" si="11"/>
        <v>0.8333333333333334</v>
      </c>
      <c r="AB121" s="226"/>
      <c r="AC121" s="214"/>
      <c r="AD121" s="214"/>
      <c r="AE121" s="214"/>
      <c r="AH121" s="275"/>
      <c r="AI121" s="275"/>
    </row>
    <row r="122" spans="1:35" ht="15">
      <c r="A122" s="222">
        <v>97.1</v>
      </c>
      <c r="B122" s="405" t="s">
        <v>741</v>
      </c>
      <c r="C122" s="214">
        <v>20348.31079587828</v>
      </c>
      <c r="D122" s="214">
        <v>38020.09751525948</v>
      </c>
      <c r="E122" s="64">
        <f t="shared" si="10"/>
        <v>29184.204155568877</v>
      </c>
      <c r="F122" s="315" t="s">
        <v>43</v>
      </c>
      <c r="G122" s="315">
        <v>15</v>
      </c>
      <c r="H122" s="315">
        <v>16</v>
      </c>
      <c r="I122" s="222">
        <v>3.8</v>
      </c>
      <c r="J122" s="316">
        <v>100</v>
      </c>
      <c r="K122" s="316">
        <v>12</v>
      </c>
      <c r="L122" s="269">
        <v>1440</v>
      </c>
      <c r="M122" s="209">
        <v>0.75</v>
      </c>
      <c r="N122" s="209">
        <v>0.8</v>
      </c>
      <c r="O122" s="209">
        <v>0.000631</v>
      </c>
      <c r="P122" s="209">
        <v>1.6</v>
      </c>
      <c r="Q122" s="209">
        <v>0.6</v>
      </c>
      <c r="R122" s="209">
        <v>0.885</v>
      </c>
      <c r="S122" s="88">
        <f t="shared" si="12"/>
        <v>4042.205172647553</v>
      </c>
      <c r="T122" s="317">
        <f t="shared" si="13"/>
        <v>20.951665819101102</v>
      </c>
      <c r="U122" s="317">
        <f>((E122+S122)*(Rates!$E$5/1000))/(2*J122)</f>
        <v>0.996792279846493</v>
      </c>
      <c r="V122" s="424">
        <f>(E122*(Rates!$E$6/1000))/J122</f>
        <v>0</v>
      </c>
      <c r="W122" s="317">
        <f>((E122+S122)*(Rates!$E$4/100))/(2*J122)</f>
        <v>8.306602332054108</v>
      </c>
      <c r="X122" s="424">
        <f t="shared" si="14"/>
        <v>14.533379093992956</v>
      </c>
      <c r="Y122" s="318" t="str">
        <f>IF(F122="-","-",IF(I122="-",IF(F122=1,H122*Rates!$E$12*Rates!$E$7,IF(F122=2,H122*Rates!$E$13*Rates!$E$8,IF(F122=3,H122*Rates!$E$14*Rates!$E$9,"-"))),IF(F122=1,(E122/1000)*Rates!$E$12*Rates!$E$7,IF(F122=2,(E122/1000)*Rates!$E$13*Rates!$E$8,IF(F122=3,(E122/1000)*Rates!$E$14*Rates!$E$9,"-")))))</f>
        <v>-</v>
      </c>
      <c r="Z122" s="324" t="str">
        <f>IF(Y122="-","-",Y122*(Rates!$E$10/100))</f>
        <v>-</v>
      </c>
      <c r="AA122" s="317">
        <f>(K122*J122)/L122</f>
        <v>0.8333333333333334</v>
      </c>
      <c r="AB122" s="226"/>
      <c r="AC122" s="214"/>
      <c r="AD122" s="214"/>
      <c r="AE122" s="214"/>
      <c r="AH122" s="275"/>
      <c r="AI122" s="275"/>
    </row>
    <row r="123" spans="1:35" ht="15">
      <c r="A123" s="222">
        <v>97.2</v>
      </c>
      <c r="B123" s="405" t="s">
        <v>742</v>
      </c>
      <c r="C123" s="214">
        <v>18148.493412540083</v>
      </c>
      <c r="D123" s="214">
        <v>35442.463785411375</v>
      </c>
      <c r="E123" s="64">
        <f t="shared" si="10"/>
        <v>26795.47859897573</v>
      </c>
      <c r="F123" s="315" t="s">
        <v>43</v>
      </c>
      <c r="G123" s="315">
        <v>15</v>
      </c>
      <c r="H123" s="315">
        <v>16</v>
      </c>
      <c r="I123" s="222">
        <v>3.8</v>
      </c>
      <c r="J123" s="316">
        <v>100</v>
      </c>
      <c r="K123" s="316">
        <v>12</v>
      </c>
      <c r="L123" s="269">
        <v>1440</v>
      </c>
      <c r="M123" s="209">
        <v>0.75</v>
      </c>
      <c r="N123" s="209">
        <v>0.8</v>
      </c>
      <c r="O123" s="209">
        <v>0.000631</v>
      </c>
      <c r="P123" s="209">
        <v>1.6</v>
      </c>
      <c r="Q123" s="209">
        <v>0.6</v>
      </c>
      <c r="R123" s="209">
        <v>0.885</v>
      </c>
      <c r="S123" s="88">
        <f t="shared" si="12"/>
        <v>3711.3508944419314</v>
      </c>
      <c r="T123" s="317">
        <f t="shared" si="13"/>
        <v>19.236773087111498</v>
      </c>
      <c r="U123" s="317">
        <f>((E123+S123)*(Rates!$E$5/1000))/(2*J123)</f>
        <v>0.9152048848025298</v>
      </c>
      <c r="V123" s="424">
        <f>(E123*(Rates!$E$6/1000))/J123</f>
        <v>0</v>
      </c>
      <c r="W123" s="317">
        <f>((E123+S123)*(Rates!$E$4/100))/(2*J123)</f>
        <v>7.6267073733544155</v>
      </c>
      <c r="X123" s="424">
        <f t="shared" si="14"/>
        <v>13.343822788793762</v>
      </c>
      <c r="Y123" s="318" t="str">
        <f>IF(F123="-","-",IF(I123="-",IF(F123=1,H123*Rates!$E$12*Rates!$E$7,IF(F123=2,H123*Rates!$E$13*Rates!$E$8,IF(F123=3,H123*Rates!$E$14*Rates!$E$9,"-"))),IF(F123=1,(E123/1000)*Rates!$E$12*Rates!$E$7,IF(F123=2,(E123/1000)*Rates!$E$13*Rates!$E$8,IF(F123=3,(E123/1000)*Rates!$E$14*Rates!$E$9,"-")))))</f>
        <v>-</v>
      </c>
      <c r="Z123" s="324" t="str">
        <f>IF(Y123="-","-",Y123*(Rates!$E$10/100))</f>
        <v>-</v>
      </c>
      <c r="AA123" s="317">
        <f>(K123*J123)/L123</f>
        <v>0.8333333333333334</v>
      </c>
      <c r="AB123" s="317"/>
      <c r="AC123" s="222">
        <v>10</v>
      </c>
      <c r="AD123" s="227">
        <f>AC123+11</f>
        <v>21</v>
      </c>
      <c r="AE123" s="275"/>
      <c r="AF123" s="275"/>
      <c r="AG123" s="275"/>
      <c r="AH123" s="275"/>
      <c r="AI123" s="275"/>
    </row>
    <row r="124" spans="1:35" ht="15">
      <c r="A124" s="222">
        <v>98</v>
      </c>
      <c r="B124" s="405" t="s">
        <v>743</v>
      </c>
      <c r="C124" s="214">
        <v>3710.358653230418</v>
      </c>
      <c r="D124" s="214">
        <v>3623.007409175385</v>
      </c>
      <c r="E124" s="64">
        <f t="shared" si="10"/>
        <v>3666.6830312029015</v>
      </c>
      <c r="F124" s="315" t="s">
        <v>43</v>
      </c>
      <c r="G124" s="315">
        <v>11</v>
      </c>
      <c r="H124" s="315">
        <v>5</v>
      </c>
      <c r="I124" s="222">
        <v>2.5</v>
      </c>
      <c r="J124" s="316">
        <v>50</v>
      </c>
      <c r="K124" s="316">
        <v>10</v>
      </c>
      <c r="L124" s="269">
        <v>1000</v>
      </c>
      <c r="M124" s="209">
        <v>0.6</v>
      </c>
      <c r="N124" s="209">
        <v>1</v>
      </c>
      <c r="O124" s="209">
        <v>0.00159</v>
      </c>
      <c r="P124" s="209">
        <v>1.4</v>
      </c>
      <c r="Q124" s="209">
        <v>0.65</v>
      </c>
      <c r="R124" s="209">
        <v>0.885</v>
      </c>
      <c r="S124" s="88">
        <f t="shared" si="12"/>
        <v>702.4564949006985</v>
      </c>
      <c r="T124" s="317">
        <f t="shared" si="13"/>
        <v>5.928453072604406</v>
      </c>
      <c r="U124" s="317">
        <f>((E124+S124)*(Rates!$E$5/1000))/(2*J124)</f>
        <v>0.262148371566216</v>
      </c>
      <c r="V124" s="424">
        <f>(E124*(Rates!$E$6/1000))/J124</f>
        <v>0</v>
      </c>
      <c r="W124" s="317">
        <f>((E124+S124)*(Rates!$E$4/100))/(2*J124)</f>
        <v>2.1845697630517997</v>
      </c>
      <c r="X124" s="424">
        <f t="shared" si="14"/>
        <v>2.7788261072684004</v>
      </c>
      <c r="Y124" s="318" t="str">
        <f>IF(F124="-","-",IF(I124="-",IF(F124=1,H124*Rates!$E$12*Rates!$E$7,IF(F124=2,H124*Rates!$E$13*Rates!$E$8,IF(F124=3,H124*Rates!$E$14*Rates!$E$9,"-"))),IF(F124=1,(E124/1000)*Rates!$E$12*Rates!$E$7,IF(F124=2,(E124/1000)*Rates!$E$13*Rates!$E$8,IF(F124=3,(E124/1000)*Rates!$E$14*Rates!$E$9,"-")))))</f>
        <v>-</v>
      </c>
      <c r="Z124" s="324" t="str">
        <f>IF(Y124="-","-",Y124*(Rates!$E$10/100))</f>
        <v>-</v>
      </c>
      <c r="AA124" s="317">
        <f t="shared" si="11"/>
        <v>0.5</v>
      </c>
      <c r="AB124" s="317"/>
      <c r="AC124" s="222">
        <v>10</v>
      </c>
      <c r="AD124" s="227">
        <f>AC124+11</f>
        <v>21</v>
      </c>
      <c r="AE124" s="275"/>
      <c r="AF124" s="275"/>
      <c r="AG124" s="275"/>
      <c r="AH124" s="275"/>
      <c r="AI124" s="275"/>
    </row>
    <row r="125" spans="1:35" ht="15">
      <c r="A125" s="222">
        <v>99</v>
      </c>
      <c r="B125" s="405" t="s">
        <v>744</v>
      </c>
      <c r="C125" s="214">
        <v>879.9269533352768</v>
      </c>
      <c r="D125" s="214">
        <v>1933.225297386075</v>
      </c>
      <c r="E125" s="64">
        <f t="shared" si="10"/>
        <v>1406.5761253606759</v>
      </c>
      <c r="F125" s="315" t="s">
        <v>43</v>
      </c>
      <c r="G125" s="315">
        <v>10</v>
      </c>
      <c r="H125" s="315">
        <v>4</v>
      </c>
      <c r="I125" s="222">
        <v>3.8</v>
      </c>
      <c r="J125" s="316">
        <v>150</v>
      </c>
      <c r="K125" s="316">
        <v>10</v>
      </c>
      <c r="L125" s="269">
        <v>2000</v>
      </c>
      <c r="M125" s="209">
        <v>0.76</v>
      </c>
      <c r="N125" s="209">
        <v>1</v>
      </c>
      <c r="O125" s="209">
        <v>0.000251</v>
      </c>
      <c r="P125" s="209">
        <v>1.8</v>
      </c>
      <c r="Q125" s="209">
        <v>0.6</v>
      </c>
      <c r="R125" s="209">
        <v>0.885</v>
      </c>
      <c r="S125" s="88">
        <f t="shared" si="12"/>
        <v>248.74089862446624</v>
      </c>
      <c r="T125" s="317">
        <f t="shared" si="13"/>
        <v>0.7718901511574732</v>
      </c>
      <c r="U125" s="317">
        <f>((E125+S125)*(Rates!$E$5/1000))/(2*J125)</f>
        <v>0.03310634047970284</v>
      </c>
      <c r="V125" s="424">
        <f>(E125*(Rates!$E$6/1000))/J125</f>
        <v>0</v>
      </c>
      <c r="W125" s="317">
        <f>((E125+S125)*(Rates!$E$4/100))/(2*J125)</f>
        <v>0.27588617066419036</v>
      </c>
      <c r="X125" s="424">
        <f t="shared" si="14"/>
        <v>0.5587046123370341</v>
      </c>
      <c r="Y125" s="318" t="str">
        <f>IF(F125="-","-",IF(I125="-",IF(F125=1,H125*Rates!$E$12*Rates!$E$7,IF(F125=2,H125*Rates!$E$13*Rates!$E$8,IF(F125=3,H125*Rates!$E$14*Rates!$E$9,"-"))),IF(F125=1,(E125/1000)*Rates!$E$12*Rates!$E$7,IF(F125=2,(E125/1000)*Rates!$E$13*Rates!$E$8,IF(F125=3,(E125/1000)*Rates!$E$14*Rates!$E$9,"-")))))</f>
        <v>-</v>
      </c>
      <c r="Z125" s="324" t="str">
        <f>IF(Y125="-","-",Y125*(Rates!$E$10/100))</f>
        <v>-</v>
      </c>
      <c r="AA125" s="317">
        <f t="shared" si="11"/>
        <v>0.75</v>
      </c>
      <c r="AB125" s="226"/>
      <c r="AC125" s="214"/>
      <c r="AD125" s="214"/>
      <c r="AE125" s="214"/>
      <c r="AH125" s="275"/>
      <c r="AI125" s="275"/>
    </row>
    <row r="126" spans="1:35" ht="15">
      <c r="A126" s="222">
        <v>99.1</v>
      </c>
      <c r="B126" s="405" t="s">
        <v>859</v>
      </c>
      <c r="C126" s="84">
        <v>6818.6</v>
      </c>
      <c r="D126" s="214">
        <v>6620</v>
      </c>
      <c r="E126" s="64">
        <f>IF(C126=0,D126,IF(D126=0,C126,AVERAGE(C126,D126)))</f>
        <v>6719.3</v>
      </c>
      <c r="F126" s="315" t="s">
        <v>43</v>
      </c>
      <c r="G126" s="315">
        <v>10</v>
      </c>
      <c r="H126" s="315">
        <v>17.5</v>
      </c>
      <c r="I126" s="222">
        <v>3.8</v>
      </c>
      <c r="J126" s="316">
        <v>150</v>
      </c>
      <c r="K126" s="316">
        <v>10</v>
      </c>
      <c r="L126" s="269">
        <v>2000</v>
      </c>
      <c r="M126" s="209">
        <v>0.76</v>
      </c>
      <c r="N126" s="209">
        <v>1</v>
      </c>
      <c r="O126" s="209">
        <v>0.000251</v>
      </c>
      <c r="P126" s="209">
        <v>1.8</v>
      </c>
      <c r="Q126" s="209">
        <v>0.6</v>
      </c>
      <c r="R126" s="209">
        <v>0.885</v>
      </c>
      <c r="S126" s="88">
        <f t="shared" si="12"/>
        <v>1188.250454413765</v>
      </c>
      <c r="T126" s="317">
        <f t="shared" si="13"/>
        <v>3.6873663637241565</v>
      </c>
      <c r="U126" s="317">
        <f>((E126+S126)*(Rates!$E$5/1000))/(2*J126)</f>
        <v>0.1581510090882753</v>
      </c>
      <c r="V126" s="424">
        <f>(E126*(Rates!$E$6/1000))/J126</f>
        <v>0</v>
      </c>
      <c r="W126" s="317">
        <f>((E126+S126)*(Rates!$E$4/100))/(2*J126)</f>
        <v>1.3179250757356278</v>
      </c>
      <c r="X126" s="424">
        <f t="shared" si="14"/>
        <v>2.668966033184732</v>
      </c>
      <c r="Y126" s="318" t="str">
        <f>IF(F126="-","-",IF(I126="-",IF(F126=1,H126*Rates!$E$12*Rates!$E$7,IF(F126=2,H126*Rates!$E$13*Rates!$E$8,IF(F126=3,H126*Rates!$E$14*Rates!$E$9,"-"))),IF(F126=1,(E126/1000)*Rates!$E$12*Rates!$E$7,IF(F126=2,(E126/1000)*Rates!$E$13*Rates!$E$8,IF(F126=3,(E126/1000)*Rates!$E$14*Rates!$E$9,"-")))))</f>
        <v>-</v>
      </c>
      <c r="Z126" s="324" t="str">
        <f>IF(Y126="-","-",Y126*(Rates!$E$10/100))</f>
        <v>-</v>
      </c>
      <c r="AA126" s="317">
        <f t="shared" si="11"/>
        <v>0.75</v>
      </c>
      <c r="AB126" s="226"/>
      <c r="AC126" s="214"/>
      <c r="AD126" s="214"/>
      <c r="AE126" s="214"/>
      <c r="AH126" s="275"/>
      <c r="AI126" s="275"/>
    </row>
    <row r="127" spans="1:35" ht="15">
      <c r="A127" s="222">
        <v>99.2</v>
      </c>
      <c r="B127" s="405" t="s">
        <v>860</v>
      </c>
      <c r="C127" s="84">
        <v>5209.74</v>
      </c>
      <c r="D127" s="214">
        <v>5058</v>
      </c>
      <c r="E127" s="64">
        <f>IF(C127=0,D127,IF(D127=0,C127,AVERAGE(C127,D127)))</f>
        <v>5133.87</v>
      </c>
      <c r="F127" s="315" t="s">
        <v>43</v>
      </c>
      <c r="G127" s="315">
        <v>10</v>
      </c>
      <c r="H127" s="315">
        <v>17.5</v>
      </c>
      <c r="I127" s="222">
        <v>3.8</v>
      </c>
      <c r="J127" s="316">
        <v>150</v>
      </c>
      <c r="K127" s="316">
        <v>10</v>
      </c>
      <c r="L127" s="269">
        <v>2000</v>
      </c>
      <c r="M127" s="209">
        <v>0.76</v>
      </c>
      <c r="N127" s="209">
        <v>1</v>
      </c>
      <c r="O127" s="209">
        <v>0.000251</v>
      </c>
      <c r="P127" s="209">
        <v>1.8</v>
      </c>
      <c r="Q127" s="209">
        <v>0.6</v>
      </c>
      <c r="R127" s="209">
        <v>0.885</v>
      </c>
      <c r="S127" s="88">
        <f t="shared" si="12"/>
        <v>907.8807852605473</v>
      </c>
      <c r="T127" s="317">
        <f t="shared" si="13"/>
        <v>2.8173261431596353</v>
      </c>
      <c r="U127" s="317">
        <f>((E127+S127)*(Rates!$E$5/1000))/(2*J127)</f>
        <v>0.12083501570521094</v>
      </c>
      <c r="V127" s="424">
        <f>(E127*(Rates!$E$6/1000))/J127</f>
        <v>0</v>
      </c>
      <c r="W127" s="317">
        <f>((E127+S127)*(Rates!$E$4/100))/(2*J127)</f>
        <v>1.006958464210091</v>
      </c>
      <c r="X127" s="424">
        <f t="shared" si="14"/>
        <v>2.039219062816975</v>
      </c>
      <c r="Y127" s="318" t="str">
        <f>IF(F127="-","-",IF(I127="-",IF(F127=1,H127*Rates!$E$12*Rates!$E$7,IF(F127=2,H127*Rates!$E$13*Rates!$E$8,IF(F127=3,H127*Rates!$E$14*Rates!$E$9,"-"))),IF(F127=1,(E127/1000)*Rates!$E$12*Rates!$E$7,IF(F127=2,(E127/1000)*Rates!$E$13*Rates!$E$8,IF(F127=3,(E127/1000)*Rates!$E$14*Rates!$E$9,"-")))))</f>
        <v>-</v>
      </c>
      <c r="Z127" s="324" t="str">
        <f>IF(Y127="-","-",Y127*(Rates!$E$10/100))</f>
        <v>-</v>
      </c>
      <c r="AA127" s="317">
        <f t="shared" si="11"/>
        <v>0.75</v>
      </c>
      <c r="AB127" s="226"/>
      <c r="AC127" s="214"/>
      <c r="AD127" s="214"/>
      <c r="AE127" s="214"/>
      <c r="AH127" s="275"/>
      <c r="AI127" s="275"/>
    </row>
    <row r="128" spans="1:35" ht="15">
      <c r="A128" s="222">
        <v>100</v>
      </c>
      <c r="B128" s="405" t="s">
        <v>745</v>
      </c>
      <c r="C128" s="214">
        <v>15276.509606515225</v>
      </c>
      <c r="D128" s="214">
        <v>14916.861862546877</v>
      </c>
      <c r="E128" s="64">
        <f t="shared" si="10"/>
        <v>15096.685734531051</v>
      </c>
      <c r="F128" s="315" t="s">
        <v>43</v>
      </c>
      <c r="G128" s="315">
        <v>10</v>
      </c>
      <c r="H128" s="315">
        <v>4</v>
      </c>
      <c r="I128" s="222">
        <v>2</v>
      </c>
      <c r="J128" s="316">
        <v>115</v>
      </c>
      <c r="K128" s="316">
        <v>7</v>
      </c>
      <c r="L128" s="269">
        <v>2000</v>
      </c>
      <c r="M128" s="209">
        <v>0.35</v>
      </c>
      <c r="N128" s="209">
        <v>0.5</v>
      </c>
      <c r="O128" s="209">
        <v>0.000631</v>
      </c>
      <c r="P128" s="209">
        <v>1.6</v>
      </c>
      <c r="Q128" s="209">
        <v>0.6</v>
      </c>
      <c r="R128" s="209">
        <v>0.885</v>
      </c>
      <c r="S128" s="88">
        <f t="shared" si="12"/>
        <v>3851.5519476652603</v>
      </c>
      <c r="T128" s="317">
        <f t="shared" si="13"/>
        <v>13.969110294243217</v>
      </c>
      <c r="U128" s="317">
        <f>((E128+S128)*(Rates!$E$5/1000))/(2*J128)</f>
        <v>0.49430185257903425</v>
      </c>
      <c r="V128" s="424">
        <f>(E128*(Rates!$E$6/1000))/J128</f>
        <v>0</v>
      </c>
      <c r="W128" s="317">
        <f>((E128+S128)*(Rates!$E$4/100))/(2*J128)</f>
        <v>4.119182104825286</v>
      </c>
      <c r="X128" s="424">
        <f t="shared" si="14"/>
        <v>2.1861560243273273</v>
      </c>
      <c r="Y128" s="318" t="str">
        <f>IF(F128="-","-",IF(I128="-",IF(F128=1,H128*Rates!$E$12*Rates!$E$7,IF(F128=2,H128*Rates!$E$13*Rates!$E$8,IF(F128=3,H128*Rates!$E$14*Rates!$E$9,"-"))),IF(F128=1,(E128/1000)*Rates!$E$12*Rates!$E$7,IF(F128=2,(E128/1000)*Rates!$E$13*Rates!$E$8,IF(F128=3,(E128/1000)*Rates!$E$14*Rates!$E$9,"-")))))</f>
        <v>-</v>
      </c>
      <c r="Z128" s="324" t="str">
        <f>IF(Y128="-","-",Y128*(Rates!$E$10/100))</f>
        <v>-</v>
      </c>
      <c r="AA128" s="317">
        <f t="shared" si="11"/>
        <v>0.4025</v>
      </c>
      <c r="AB128" s="226"/>
      <c r="AC128" s="214"/>
      <c r="AD128" s="214"/>
      <c r="AE128" s="214"/>
      <c r="AH128" s="275"/>
      <c r="AI128" s="275"/>
    </row>
    <row r="129" spans="1:35" ht="15">
      <c r="A129" s="222">
        <v>101</v>
      </c>
      <c r="B129" s="405" t="s">
        <v>746</v>
      </c>
      <c r="C129" s="214">
        <v>3605.256267137593</v>
      </c>
      <c r="D129" s="214">
        <v>3520.3793995610627</v>
      </c>
      <c r="E129" s="64">
        <f t="shared" si="10"/>
        <v>3562.817833349328</v>
      </c>
      <c r="F129" s="315" t="s">
        <v>43</v>
      </c>
      <c r="G129" s="315">
        <v>10</v>
      </c>
      <c r="H129" s="315">
        <v>8</v>
      </c>
      <c r="I129" s="222">
        <v>1.5</v>
      </c>
      <c r="J129" s="316">
        <v>50</v>
      </c>
      <c r="K129" s="316">
        <v>8</v>
      </c>
      <c r="L129" s="269">
        <v>1000</v>
      </c>
      <c r="M129" s="209">
        <v>0.8</v>
      </c>
      <c r="N129" s="209">
        <v>1.8</v>
      </c>
      <c r="O129" s="209">
        <v>0.00251</v>
      </c>
      <c r="P129" s="209">
        <v>1.3</v>
      </c>
      <c r="Q129" s="209">
        <v>0.66</v>
      </c>
      <c r="R129" s="209">
        <v>0.885</v>
      </c>
      <c r="S129" s="88">
        <f t="shared" si="12"/>
        <v>884.878653768303</v>
      </c>
      <c r="T129" s="317">
        <f t="shared" si="13"/>
        <v>6.694847948952562</v>
      </c>
      <c r="U129" s="317">
        <f>((E129+S129)*(Rates!$E$5/1000))/(2*J129)</f>
        <v>0.26686178922705783</v>
      </c>
      <c r="V129" s="424">
        <f>(E129*(Rates!$E$6/1000))/J129</f>
        <v>0</v>
      </c>
      <c r="W129" s="317">
        <f>((E129+S129)*(Rates!$E$4/100))/(2*J129)</f>
        <v>2.223848243558815</v>
      </c>
      <c r="X129" s="424">
        <f t="shared" si="14"/>
        <v>4.871740197424055</v>
      </c>
      <c r="Y129" s="318" t="str">
        <f>IF(F129="-","-",IF(I129="-",IF(F129=1,H129*Rates!$E$12*Rates!$E$7,IF(F129=2,H129*Rates!$E$13*Rates!$E$8,IF(F129=3,H129*Rates!$E$14*Rates!$E$9,"-"))),IF(F129=1,(E129/1000)*Rates!$E$12*Rates!$E$7,IF(F129=2,(E129/1000)*Rates!$E$13*Rates!$E$8,IF(F129=3,(E129/1000)*Rates!$E$14*Rates!$E$9,"-")))))</f>
        <v>-</v>
      </c>
      <c r="Z129" s="324" t="str">
        <f>IF(Y129="-","-",Y129*(Rates!$E$10/100))</f>
        <v>-</v>
      </c>
      <c r="AA129" s="317">
        <f t="shared" si="11"/>
        <v>0.4</v>
      </c>
      <c r="AB129" s="226"/>
      <c r="AC129" s="214"/>
      <c r="AD129" s="214"/>
      <c r="AE129" s="214"/>
      <c r="AH129" s="275"/>
      <c r="AI129" s="275"/>
    </row>
    <row r="130" spans="1:35" ht="15">
      <c r="A130" s="222">
        <v>101.1</v>
      </c>
      <c r="B130" s="405" t="s">
        <v>861</v>
      </c>
      <c r="C130" s="214">
        <v>5356</v>
      </c>
      <c r="D130" s="214">
        <v>6225.1</v>
      </c>
      <c r="E130" s="64">
        <f>IF(C130=0,D130,IF(D130=0,C130,AVERAGE(C130,D130)))</f>
        <v>5790.55</v>
      </c>
      <c r="F130" s="315" t="s">
        <v>43</v>
      </c>
      <c r="G130" s="315">
        <v>11</v>
      </c>
      <c r="H130" s="315">
        <v>14</v>
      </c>
      <c r="I130" s="222">
        <v>1.5</v>
      </c>
      <c r="J130" s="316">
        <v>50</v>
      </c>
      <c r="K130" s="316">
        <v>8</v>
      </c>
      <c r="L130" s="269">
        <v>1000</v>
      </c>
      <c r="M130" s="209">
        <v>0.8</v>
      </c>
      <c r="N130" s="209">
        <v>1.8</v>
      </c>
      <c r="O130" s="209">
        <v>0.00251</v>
      </c>
      <c r="P130" s="209">
        <v>1.3</v>
      </c>
      <c r="Q130" s="209">
        <v>0.66</v>
      </c>
      <c r="R130" s="209">
        <v>0.885</v>
      </c>
      <c r="S130" s="88">
        <f>E130*Q130*(R130^K130)</f>
        <v>1438.1689797934878</v>
      </c>
      <c r="T130" s="317">
        <f>(E130-S130)/(J130*K130)</f>
        <v>10.88095255051628</v>
      </c>
      <c r="U130" s="317">
        <f>((E130+S130)*(Rates!$E$5/1000))/(2*J130)</f>
        <v>0.43372313878760926</v>
      </c>
      <c r="V130" s="424">
        <f>(E130*(Rates!$E$6/1000))/J130</f>
        <v>0</v>
      </c>
      <c r="W130" s="317">
        <f>((E130+S130)*(Rates!$E$4/100))/(2*J130)</f>
        <v>3.6143594898967444</v>
      </c>
      <c r="X130" s="424">
        <f>((E130*N130)*(AA130^P130))/(J130*K130)</f>
        <v>7.917905579156204</v>
      </c>
      <c r="Y130" s="318" t="str">
        <f>IF(F130="-","-",IF(I130="-",IF(F130=1,H130*Rates!$E$12*Rates!$E$7,IF(F130=2,H130*Rates!$E$13*Rates!$E$8,IF(F130=3,H130*Rates!$E$14*Rates!$E$9,"-"))),IF(F130=1,(E130/1000)*Rates!$E$12*Rates!$E$7,IF(F130=2,(E130/1000)*Rates!$E$13*Rates!$E$8,IF(F130=3,(E130/1000)*Rates!$E$14*Rates!$E$9,"-")))))</f>
        <v>-</v>
      </c>
      <c r="Z130" s="324" t="str">
        <f>IF(Y130="-","-",Y130*(Rates!$E$10/100))</f>
        <v>-</v>
      </c>
      <c r="AA130" s="317">
        <f>(K130*J130)/L130</f>
        <v>0.4</v>
      </c>
      <c r="AB130" s="226"/>
      <c r="AC130" s="214"/>
      <c r="AD130" s="214"/>
      <c r="AE130" s="214"/>
      <c r="AH130" s="275"/>
      <c r="AI130" s="275"/>
    </row>
    <row r="131" spans="1:35" ht="15">
      <c r="A131" s="222">
        <v>102</v>
      </c>
      <c r="B131" s="405" t="s">
        <v>747</v>
      </c>
      <c r="C131" s="214">
        <v>1222.1207685212175</v>
      </c>
      <c r="D131" s="214">
        <v>1193.34894900375</v>
      </c>
      <c r="E131" s="64">
        <f t="shared" si="10"/>
        <v>1207.7348587624838</v>
      </c>
      <c r="F131" s="315" t="s">
        <v>43</v>
      </c>
      <c r="G131" s="315">
        <v>112</v>
      </c>
      <c r="H131" s="315">
        <v>4</v>
      </c>
      <c r="I131" s="222">
        <v>2</v>
      </c>
      <c r="J131" s="316">
        <v>150</v>
      </c>
      <c r="K131" s="316">
        <v>12</v>
      </c>
      <c r="L131" s="269">
        <v>1100</v>
      </c>
      <c r="M131" s="209">
        <v>0.4</v>
      </c>
      <c r="N131" s="209">
        <v>0.5</v>
      </c>
      <c r="O131" s="209">
        <v>0.00251</v>
      </c>
      <c r="P131" s="209">
        <v>1.3</v>
      </c>
      <c r="Q131" s="209">
        <v>0.635</v>
      </c>
      <c r="R131" s="209">
        <v>0.885</v>
      </c>
      <c r="S131" s="88">
        <f t="shared" si="12"/>
        <v>177.03721750218443</v>
      </c>
      <c r="T131" s="317">
        <f t="shared" si="13"/>
        <v>0.5726098007001663</v>
      </c>
      <c r="U131" s="317">
        <f>((E131+S131)*(Rates!$E$5/1000))/(2*J131)</f>
        <v>0.027695441525293366</v>
      </c>
      <c r="V131" s="424">
        <f>(E131*(Rates!$E$6/1000))/J131</f>
        <v>0</v>
      </c>
      <c r="W131" s="317">
        <f>((E131+S131)*(Rates!$E$4/100))/(2*J131)</f>
        <v>0.23079534604411137</v>
      </c>
      <c r="X131" s="424">
        <f t="shared" si="14"/>
        <v>0.6363746433545239</v>
      </c>
      <c r="Y131" s="318" t="str">
        <f>IF(F131="-","-",IF(I131="-",IF(F131=1,H131*Rates!$E$12*Rates!$E$7,IF(F131=2,H131*Rates!$E$13*Rates!$E$8,IF(F131=3,H131*Rates!$E$14*Rates!$E$9,"-"))),IF(F131=1,(E131/1000)*Rates!$E$12*Rates!$E$7,IF(F131=2,(E131/1000)*Rates!$E$13*Rates!$E$8,IF(F131=3,(E131/1000)*Rates!$E$14*Rates!$E$9,"-")))))</f>
        <v>-</v>
      </c>
      <c r="Z131" s="324" t="str">
        <f>IF(Y131="-","-",Y131*(Rates!$E$10/100))</f>
        <v>-</v>
      </c>
      <c r="AA131" s="317">
        <f t="shared" si="11"/>
        <v>1.6363636363636365</v>
      </c>
      <c r="AB131" s="226"/>
      <c r="AC131" s="214"/>
      <c r="AD131" s="214"/>
      <c r="AE131" s="214"/>
      <c r="AH131" s="275"/>
      <c r="AI131" s="275"/>
    </row>
    <row r="132" spans="1:35" ht="15">
      <c r="A132" s="222">
        <v>103</v>
      </c>
      <c r="B132" s="405" t="s">
        <v>748</v>
      </c>
      <c r="C132" s="214">
        <v>3544.150228711532</v>
      </c>
      <c r="D132" s="214">
        <v>3460.7119521108752</v>
      </c>
      <c r="E132" s="64">
        <f aca="true" t="shared" si="15" ref="E132:E158">IF(C132=0,D132,IF(D132=0,C132,AVERAGE(C132,D132)))</f>
        <v>3502.4310904112035</v>
      </c>
      <c r="F132" s="315" t="s">
        <v>43</v>
      </c>
      <c r="G132" s="315">
        <v>11</v>
      </c>
      <c r="H132" s="315">
        <v>4</v>
      </c>
      <c r="I132" s="222">
        <v>1</v>
      </c>
      <c r="J132" s="316">
        <v>145</v>
      </c>
      <c r="K132" s="316">
        <v>10</v>
      </c>
      <c r="L132" s="269">
        <v>1200</v>
      </c>
      <c r="M132" s="209">
        <v>0.67</v>
      </c>
      <c r="N132" s="209">
        <v>0.8</v>
      </c>
      <c r="O132" s="209">
        <v>0.000631</v>
      </c>
      <c r="P132" s="209">
        <v>1.6</v>
      </c>
      <c r="Q132" s="209">
        <v>0.6</v>
      </c>
      <c r="R132" s="209">
        <v>0.885</v>
      </c>
      <c r="S132" s="88">
        <f t="shared" si="12"/>
        <v>619.3748358808225</v>
      </c>
      <c r="T132" s="317">
        <f t="shared" si="13"/>
        <v>1.9883146582968145</v>
      </c>
      <c r="U132" s="317">
        <f>((E132+S132)*(Rates!$E$5/1000))/(2*J132)</f>
        <v>0.08527874330259365</v>
      </c>
      <c r="V132" s="424">
        <f>(E132*(Rates!$E$6/1000))/J132</f>
        <v>0</v>
      </c>
      <c r="W132" s="317">
        <f>((E132+S132)*(Rates!$E$4/100))/(2*J132)</f>
        <v>0.7106561941882804</v>
      </c>
      <c r="X132" s="424">
        <f t="shared" si="14"/>
        <v>2.6157148263263243</v>
      </c>
      <c r="Y132" s="318" t="str">
        <f>IF(F132="-","-",IF(I132="-",IF(F132=1,H132*Rates!$E$12*Rates!$E$7,IF(F132=2,H132*Rates!$E$13*Rates!$E$8,IF(F132=3,H132*Rates!$E$14*Rates!$E$9,"-"))),IF(F132=1,(E132/1000)*Rates!$E$12*Rates!$E$7,IF(F132=2,(E132/1000)*Rates!$E$13*Rates!$E$8,IF(F132=3,(E132/1000)*Rates!$E$14*Rates!$E$9,"-")))))</f>
        <v>-</v>
      </c>
      <c r="Z132" s="324" t="str">
        <f>IF(Y132="-","-",Y132*(Rates!$E$10/100))</f>
        <v>-</v>
      </c>
      <c r="AA132" s="317">
        <f t="shared" si="11"/>
        <v>1.2083333333333333</v>
      </c>
      <c r="AB132" s="226"/>
      <c r="AC132" s="214"/>
      <c r="AD132" s="214"/>
      <c r="AE132" s="214"/>
      <c r="AH132" s="275"/>
      <c r="AI132" s="275"/>
    </row>
    <row r="133" spans="1:35" ht="15">
      <c r="A133" s="222">
        <v>104</v>
      </c>
      <c r="B133" s="405" t="s">
        <v>749</v>
      </c>
      <c r="C133" s="214">
        <v>5682.861573623664</v>
      </c>
      <c r="D133" s="214">
        <v>5549.072612867439</v>
      </c>
      <c r="E133" s="64">
        <f t="shared" si="15"/>
        <v>5615.967093245552</v>
      </c>
      <c r="F133" s="315" t="s">
        <v>43</v>
      </c>
      <c r="G133" s="315">
        <v>12</v>
      </c>
      <c r="H133" s="315">
        <v>8</v>
      </c>
      <c r="I133" s="222">
        <v>1</v>
      </c>
      <c r="J133" s="316">
        <v>145</v>
      </c>
      <c r="K133" s="316">
        <v>10</v>
      </c>
      <c r="L133" s="269">
        <v>1200</v>
      </c>
      <c r="M133" s="209">
        <v>0.67</v>
      </c>
      <c r="N133" s="209">
        <v>0.8</v>
      </c>
      <c r="O133" s="209">
        <v>0.000631</v>
      </c>
      <c r="P133" s="209">
        <v>1.6</v>
      </c>
      <c r="Q133" s="209">
        <v>0.6</v>
      </c>
      <c r="R133" s="209">
        <v>0.885</v>
      </c>
      <c r="S133" s="88">
        <f t="shared" si="12"/>
        <v>993.1355127054571</v>
      </c>
      <c r="T133" s="317">
        <f t="shared" si="13"/>
        <v>3.1881597107173065</v>
      </c>
      <c r="U133" s="317">
        <f>((E133+S133)*(Rates!$E$5/1000))/(2*J133)</f>
        <v>0.1367400539162278</v>
      </c>
      <c r="V133" s="424">
        <f>(E133*(Rates!$E$6/1000))/J133</f>
        <v>0</v>
      </c>
      <c r="W133" s="317">
        <f>((E133+S133)*(Rates!$E$4/100))/(2*J133)</f>
        <v>1.1395004493018983</v>
      </c>
      <c r="X133" s="424">
        <f t="shared" si="14"/>
        <v>4.194163428419797</v>
      </c>
      <c r="Y133" s="318" t="str">
        <f>IF(F133="-","-",IF(I133="-",IF(F133=1,H133*Rates!$E$12*Rates!$E$7,IF(F133=2,H133*Rates!$E$13*Rates!$E$8,IF(F133=3,H133*Rates!$E$14*Rates!$E$9,"-"))),IF(F133=1,(E133/1000)*Rates!$E$12*Rates!$E$7,IF(F133=2,(E133/1000)*Rates!$E$13*Rates!$E$8,IF(F133=3,(E133/1000)*Rates!$E$14*Rates!$E$9,"-")))))</f>
        <v>-</v>
      </c>
      <c r="Z133" s="324" t="str">
        <f>IF(Y133="-","-",Y133*(Rates!$E$10/100))</f>
        <v>-</v>
      </c>
      <c r="AA133" s="317">
        <f t="shared" si="11"/>
        <v>1.2083333333333333</v>
      </c>
      <c r="AB133" s="226"/>
      <c r="AC133" s="214"/>
      <c r="AD133" s="214"/>
      <c r="AE133" s="214"/>
      <c r="AH133" s="275"/>
      <c r="AI133" s="275"/>
    </row>
    <row r="134" spans="1:34" ht="15">
      <c r="A134" s="222">
        <v>104.1</v>
      </c>
      <c r="B134" s="405" t="s">
        <v>862</v>
      </c>
      <c r="C134" s="214">
        <v>7004</v>
      </c>
      <c r="D134" s="214">
        <v>7559</v>
      </c>
      <c r="E134" s="64">
        <f>IF(C134=0,D134,IF(D134=0,C134,AVERAGE(C134,D134)))</f>
        <v>7281.5</v>
      </c>
      <c r="F134" s="315" t="s">
        <v>43</v>
      </c>
      <c r="G134" s="315">
        <v>13</v>
      </c>
      <c r="H134" s="315">
        <v>14</v>
      </c>
      <c r="I134" s="222">
        <v>1</v>
      </c>
      <c r="J134" s="316">
        <v>145</v>
      </c>
      <c r="K134" s="316">
        <v>10</v>
      </c>
      <c r="L134" s="269">
        <v>1200</v>
      </c>
      <c r="M134" s="209">
        <v>0.67</v>
      </c>
      <c r="N134" s="209">
        <v>0.8</v>
      </c>
      <c r="O134" s="209">
        <v>0.000631</v>
      </c>
      <c r="P134" s="209">
        <v>1.6</v>
      </c>
      <c r="Q134" s="209">
        <v>0.6</v>
      </c>
      <c r="R134" s="209">
        <v>0.885</v>
      </c>
      <c r="S134" s="88">
        <f>E134*Q134*(R134^K134)</f>
        <v>1287.670692455141</v>
      </c>
      <c r="T134" s="317">
        <f>(E134-S134)/(J134*K134)</f>
        <v>4.133675384513696</v>
      </c>
      <c r="U134" s="317">
        <f>((E134+S134)*(Rates!$E$5/1000))/(2*J134)</f>
        <v>0.17729318674045122</v>
      </c>
      <c r="V134" s="424">
        <f>(E134*(Rates!$E$6/1000))/J134</f>
        <v>0</v>
      </c>
      <c r="W134" s="317">
        <f>((E134+S134)*(Rates!$E$4/100))/(2*J134)</f>
        <v>1.4774432228370935</v>
      </c>
      <c r="X134" s="424">
        <f>((E134*N134)*(AA134^P134))/(J134*K134)</f>
        <v>5.43803061822952</v>
      </c>
      <c r="Y134" s="318" t="str">
        <f>IF(F134="-","-",IF(I134="-",IF(F134=1,H134*Rates!$E$12*Rates!$E$7,IF(F134=2,H134*Rates!$E$13*Rates!$E$8,IF(F134=3,H134*Rates!$E$14*Rates!$E$9,"-"))),IF(F134=1,(E134/1000)*Rates!$E$12*Rates!$E$7,IF(F134=2,(E134/1000)*Rates!$E$13*Rates!$E$8,IF(F134=3,(E134/1000)*Rates!$E$14*Rates!$E$9,"-")))))</f>
        <v>-</v>
      </c>
      <c r="Z134" s="324" t="str">
        <f>IF(Y134="-","-",Y134*(Rates!$E$10/100))</f>
        <v>-</v>
      </c>
      <c r="AA134" s="317">
        <f>(K134*J134)/L134</f>
        <v>1.2083333333333333</v>
      </c>
      <c r="AB134" s="226"/>
      <c r="AC134" s="214"/>
      <c r="AD134" s="214"/>
      <c r="AE134" s="214"/>
      <c r="AH134" s="275"/>
    </row>
    <row r="135" spans="1:35" ht="15">
      <c r="A135" s="222">
        <v>105</v>
      </c>
      <c r="B135" s="223" t="s">
        <v>750</v>
      </c>
      <c r="C135" s="214">
        <v>9165.905763909133</v>
      </c>
      <c r="D135" s="214">
        <v>8950.117117528127</v>
      </c>
      <c r="E135" s="64">
        <f t="shared" si="15"/>
        <v>9058.01144071863</v>
      </c>
      <c r="F135" s="315" t="s">
        <v>43</v>
      </c>
      <c r="G135" s="315">
        <v>11</v>
      </c>
      <c r="H135" s="315">
        <v>12</v>
      </c>
      <c r="I135" s="222">
        <v>1</v>
      </c>
      <c r="J135" s="328">
        <v>75</v>
      </c>
      <c r="K135" s="328">
        <v>10</v>
      </c>
      <c r="L135" s="328">
        <v>2000</v>
      </c>
      <c r="M135" s="329">
        <v>0.5</v>
      </c>
      <c r="N135" s="329">
        <v>0.75</v>
      </c>
      <c r="O135" s="329">
        <v>0.000631</v>
      </c>
      <c r="P135" s="329">
        <v>1.6</v>
      </c>
      <c r="Q135" s="329">
        <v>0.6</v>
      </c>
      <c r="R135" s="329">
        <v>0.885</v>
      </c>
      <c r="S135" s="88">
        <f t="shared" si="12"/>
        <v>1601.8314721055758</v>
      </c>
      <c r="T135" s="317">
        <f t="shared" si="13"/>
        <v>9.941573291484072</v>
      </c>
      <c r="U135" s="317">
        <f>((E135+S135)*(Rates!$E$5/1000))/(2*J135)</f>
        <v>0.42639371651296826</v>
      </c>
      <c r="V135" s="424">
        <f>(E135*(Rates!$E$6/1000))/J135</f>
        <v>0</v>
      </c>
      <c r="W135" s="317">
        <f>((E135+S135)*(Rates!$E$4/100))/(2*J135)</f>
        <v>3.553280970941402</v>
      </c>
      <c r="X135" s="424">
        <f t="shared" si="14"/>
        <v>1.8857446890078702</v>
      </c>
      <c r="Y135" s="318" t="str">
        <f>IF(F135="-","-",IF(I135="-",IF(F135=1,H135*Rates!$E$12*Rates!$E$7,IF(F135=2,H135*Rates!$E$13*Rates!$E$8,IF(F135=3,H135*Rates!$E$14*Rates!$E$9,"-"))),IF(F135=1,(E135/1000)*Rates!$E$12*Rates!$E$7,IF(F135=2,(E135/1000)*Rates!$E$13*Rates!$E$8,IF(F135=3,(E135/1000)*Rates!$E$14*Rates!$E$9,"-")))))</f>
        <v>-</v>
      </c>
      <c r="Z135" s="324" t="str">
        <f>IF(Y135="-","-",Y135*(Rates!$E$10/100))</f>
        <v>-</v>
      </c>
      <c r="AA135" s="317">
        <f t="shared" si="11"/>
        <v>0.375</v>
      </c>
      <c r="AB135" s="226"/>
      <c r="AC135" s="214"/>
      <c r="AD135" s="214"/>
      <c r="AE135" s="214"/>
      <c r="AH135" s="275"/>
      <c r="AI135" s="275"/>
    </row>
    <row r="136" spans="1:34" ht="15">
      <c r="A136" s="222">
        <v>106</v>
      </c>
      <c r="B136" s="405" t="s">
        <v>751</v>
      </c>
      <c r="C136" s="214">
        <v>1649.8630375036441</v>
      </c>
      <c r="D136" s="214">
        <v>5370.070270516875</v>
      </c>
      <c r="E136" s="64">
        <f t="shared" si="15"/>
        <v>3509.96665401026</v>
      </c>
      <c r="F136" s="315" t="s">
        <v>43</v>
      </c>
      <c r="G136" s="315">
        <v>10</v>
      </c>
      <c r="H136" s="315">
        <v>14</v>
      </c>
      <c r="I136" s="222">
        <v>4</v>
      </c>
      <c r="J136" s="316">
        <v>80</v>
      </c>
      <c r="K136" s="316">
        <v>10</v>
      </c>
      <c r="L136" s="269">
        <v>1000</v>
      </c>
      <c r="M136" s="209">
        <v>0.9</v>
      </c>
      <c r="N136" s="209">
        <v>0.7</v>
      </c>
      <c r="O136" s="209">
        <v>0.000251</v>
      </c>
      <c r="P136" s="209">
        <v>1.8</v>
      </c>
      <c r="Q136" s="209">
        <v>0.6</v>
      </c>
      <c r="R136" s="209">
        <v>0.885</v>
      </c>
      <c r="S136" s="88">
        <f t="shared" si="12"/>
        <v>620.7074355371622</v>
      </c>
      <c r="T136" s="317">
        <f t="shared" si="13"/>
        <v>3.611574023091372</v>
      </c>
      <c r="U136" s="317">
        <f>((E136+S136)*(Rates!$E$5/1000))/(2*J136)</f>
        <v>0.15490027835802833</v>
      </c>
      <c r="V136" s="424">
        <f>(E136*(Rates!$E$6/1000))/J136</f>
        <v>0</v>
      </c>
      <c r="W136" s="317">
        <f>((E136+S136)*(Rates!$E$4/100))/(2*J136)</f>
        <v>1.2908356529835694</v>
      </c>
      <c r="X136" s="424">
        <f t="shared" si="14"/>
        <v>2.0552895785573626</v>
      </c>
      <c r="Y136" s="318" t="str">
        <f>IF(F136="-","-",IF(I136="-",IF(F136=1,H136*Rates!$E$12*Rates!$E$7,IF(F136=2,H136*Rates!$E$13*Rates!$E$8,IF(F136=3,H136*Rates!$E$14*Rates!$E$9,"-"))),IF(F136=1,(E136/1000)*Rates!$E$12*Rates!$E$7,IF(F136=2,(E136/1000)*Rates!$E$13*Rates!$E$8,IF(F136=3,(E136/1000)*Rates!$E$14*Rates!$E$9,"-")))))</f>
        <v>-</v>
      </c>
      <c r="Z136" s="324" t="str">
        <f>IF(Y136="-","-",Y136*(Rates!$E$10/100))</f>
        <v>-</v>
      </c>
      <c r="AA136" s="317">
        <f t="shared" si="11"/>
        <v>0.8</v>
      </c>
      <c r="AB136" s="226"/>
      <c r="AC136" s="214"/>
      <c r="AD136" s="214"/>
      <c r="AE136" s="214"/>
      <c r="AH136" s="275"/>
    </row>
    <row r="137" spans="1:34" ht="15">
      <c r="A137" s="222">
        <v>107</v>
      </c>
      <c r="B137" s="405" t="s">
        <v>752</v>
      </c>
      <c r="C137" s="214">
        <v>3189.7352058403794</v>
      </c>
      <c r="D137" s="214">
        <v>5907.077297568561</v>
      </c>
      <c r="E137" s="64">
        <f t="shared" si="15"/>
        <v>4548.40625170447</v>
      </c>
      <c r="F137" s="315" t="s">
        <v>43</v>
      </c>
      <c r="G137" s="315">
        <v>10</v>
      </c>
      <c r="H137" s="315">
        <v>14</v>
      </c>
      <c r="I137" s="222">
        <v>4</v>
      </c>
      <c r="J137" s="328">
        <v>80</v>
      </c>
      <c r="K137" s="328">
        <v>10</v>
      </c>
      <c r="L137" s="328">
        <v>1000</v>
      </c>
      <c r="M137" s="329">
        <v>0.9</v>
      </c>
      <c r="N137" s="329">
        <v>0.7</v>
      </c>
      <c r="O137" s="329">
        <v>0.000251</v>
      </c>
      <c r="P137" s="329">
        <v>1.8</v>
      </c>
      <c r="Q137" s="329">
        <v>0.6</v>
      </c>
      <c r="R137" s="329">
        <v>0.885</v>
      </c>
      <c r="S137" s="88">
        <f t="shared" si="12"/>
        <v>804.3465532788008</v>
      </c>
      <c r="T137" s="317">
        <f t="shared" si="13"/>
        <v>4.680074623032087</v>
      </c>
      <c r="U137" s="317">
        <f>((E137+S137)*(Rates!$E$5/1000))/(2*J137)</f>
        <v>0.20072823018687264</v>
      </c>
      <c r="V137" s="424">
        <f>(E137*(Rates!$E$6/1000))/J137</f>
        <v>0</v>
      </c>
      <c r="W137" s="317">
        <f>((E137+S137)*(Rates!$E$4/100))/(2*J137)</f>
        <v>1.6727352515572722</v>
      </c>
      <c r="X137" s="424">
        <f t="shared" si="14"/>
        <v>2.6633563476999433</v>
      </c>
      <c r="Y137" s="318" t="str">
        <f>IF(F137="-","-",IF(I137="-",IF(F137=1,H137*Rates!$E$12*Rates!$E$7,IF(F137=2,H137*Rates!$E$13*Rates!$E$8,IF(F137=3,H137*Rates!$E$14*Rates!$E$9,"-"))),IF(F137=1,(E137/1000)*Rates!$E$12*Rates!$E$7,IF(F137=2,(E137/1000)*Rates!$E$13*Rates!$E$8,IF(F137=3,(E137/1000)*Rates!$E$14*Rates!$E$9,"-")))))</f>
        <v>-</v>
      </c>
      <c r="Z137" s="324" t="str">
        <f>IF(Y137="-","-",Y137*(Rates!$E$10/100))</f>
        <v>-</v>
      </c>
      <c r="AA137" s="317">
        <f t="shared" si="11"/>
        <v>0.8</v>
      </c>
      <c r="AB137" s="226"/>
      <c r="AC137" s="214"/>
      <c r="AD137" s="214"/>
      <c r="AE137" s="214"/>
      <c r="AH137" s="275"/>
    </row>
    <row r="138" spans="1:35" ht="15">
      <c r="A138" s="222">
        <v>108</v>
      </c>
      <c r="B138" s="405" t="s">
        <v>753</v>
      </c>
      <c r="C138" s="214">
        <v>3959.6712900087464</v>
      </c>
      <c r="D138" s="214">
        <v>1933.225297386075</v>
      </c>
      <c r="E138" s="64">
        <f t="shared" si="15"/>
        <v>2946.448293697411</v>
      </c>
      <c r="F138" s="315" t="s">
        <v>43</v>
      </c>
      <c r="G138" s="315">
        <v>10</v>
      </c>
      <c r="H138" s="315">
        <v>6</v>
      </c>
      <c r="I138" s="222">
        <v>15</v>
      </c>
      <c r="J138" s="316">
        <v>50</v>
      </c>
      <c r="K138" s="316">
        <v>10</v>
      </c>
      <c r="L138" s="269">
        <v>1000</v>
      </c>
      <c r="M138" s="209">
        <v>0.66</v>
      </c>
      <c r="N138" s="209">
        <v>0.6</v>
      </c>
      <c r="O138" s="209">
        <v>0.00251</v>
      </c>
      <c r="P138" s="209">
        <v>1.3</v>
      </c>
      <c r="Q138" s="209">
        <v>0.635</v>
      </c>
      <c r="R138" s="209">
        <v>0.885</v>
      </c>
      <c r="S138" s="88">
        <f t="shared" si="12"/>
        <v>551.4488767857287</v>
      </c>
      <c r="T138" s="317">
        <f t="shared" si="13"/>
        <v>4.789998833823364</v>
      </c>
      <c r="U138" s="317">
        <f>((E138+S138)*(Rates!$E$5/1000))/(2*J138)</f>
        <v>0.2098738302289884</v>
      </c>
      <c r="V138" s="424">
        <f>(E138*(Rates!$E$6/1000))/J138</f>
        <v>0</v>
      </c>
      <c r="W138" s="317">
        <f>((E138+S138)*(Rates!$E$4/100))/(2*J138)</f>
        <v>1.74894858524157</v>
      </c>
      <c r="X138" s="424">
        <f t="shared" si="14"/>
        <v>1.435955812377278</v>
      </c>
      <c r="Y138" s="318" t="str">
        <f>IF(F138="-","-",IF(I138="-",IF(F138=1,H138*Rates!$E$12*Rates!$E$7,IF(F138=2,H138*Rates!$E$13*Rates!$E$8,IF(F138=3,H138*Rates!$E$14*Rates!$E$9,"-"))),IF(F138=1,(E138/1000)*Rates!$E$12*Rates!$E$7,IF(F138=2,(E138/1000)*Rates!$E$13*Rates!$E$8,IF(F138=3,(E138/1000)*Rates!$E$14*Rates!$E$9,"-")))))</f>
        <v>-</v>
      </c>
      <c r="Z138" s="324" t="str">
        <f>IF(Y138="-","-",Y138*(Rates!$E$10/100))</f>
        <v>-</v>
      </c>
      <c r="AA138" s="317">
        <f t="shared" si="11"/>
        <v>0.5</v>
      </c>
      <c r="AB138" s="226"/>
      <c r="AC138" s="214"/>
      <c r="AD138" s="214"/>
      <c r="AE138" s="214"/>
      <c r="AH138" s="275"/>
      <c r="AI138" s="275"/>
    </row>
    <row r="139" spans="1:34" ht="15">
      <c r="A139" s="222">
        <v>109</v>
      </c>
      <c r="B139" s="223" t="s">
        <v>754</v>
      </c>
      <c r="C139" s="214">
        <v>2199.817383338192</v>
      </c>
      <c r="D139" s="214">
        <v>2148.0281082067504</v>
      </c>
      <c r="E139" s="64">
        <f t="shared" si="15"/>
        <v>2173.922745772471</v>
      </c>
      <c r="F139" s="315" t="s">
        <v>43</v>
      </c>
      <c r="G139" s="315">
        <v>10</v>
      </c>
      <c r="H139" s="315">
        <v>4</v>
      </c>
      <c r="I139" s="222">
        <v>1.5</v>
      </c>
      <c r="J139" s="328">
        <v>75</v>
      </c>
      <c r="K139" s="328">
        <v>10</v>
      </c>
      <c r="L139" s="328">
        <v>2000</v>
      </c>
      <c r="M139" s="329">
        <v>0.5</v>
      </c>
      <c r="N139" s="329">
        <v>0.75</v>
      </c>
      <c r="O139" s="329">
        <v>0.000631</v>
      </c>
      <c r="P139" s="329">
        <v>1.6</v>
      </c>
      <c r="Q139" s="329">
        <v>0.6</v>
      </c>
      <c r="R139" s="329">
        <v>0.885</v>
      </c>
      <c r="S139" s="88">
        <f t="shared" si="12"/>
        <v>384.4395533053381</v>
      </c>
      <c r="T139" s="317">
        <f t="shared" si="13"/>
        <v>2.3859775899561773</v>
      </c>
      <c r="U139" s="317">
        <f>((E139+S139)*(Rates!$E$5/1000))/(2*J139)</f>
        <v>0.10233449196311237</v>
      </c>
      <c r="V139" s="424">
        <f>(E139*(Rates!$E$6/1000))/J139</f>
        <v>0</v>
      </c>
      <c r="W139" s="317">
        <f>((E139+S139)*(Rates!$E$4/100))/(2*J139)</f>
        <v>0.8527874330259363</v>
      </c>
      <c r="X139" s="424">
        <f t="shared" si="14"/>
        <v>0.45257872536188876</v>
      </c>
      <c r="Y139" s="318" t="str">
        <f>IF(F139="-","-",IF(I139="-",IF(F139=1,H139*Rates!$E$12*Rates!$E$7,IF(F139=2,H139*Rates!$E$13*Rates!$E$8,IF(F139=3,H139*Rates!$E$14*Rates!$E$9,"-"))),IF(F139=1,(E139/1000)*Rates!$E$12*Rates!$E$7,IF(F139=2,(E139/1000)*Rates!$E$13*Rates!$E$8,IF(F139=3,(E139/1000)*Rates!$E$14*Rates!$E$9,"-")))))</f>
        <v>-</v>
      </c>
      <c r="Z139" s="324" t="str">
        <f>IF(Y139="-","-",Y139*(Rates!$E$10/100))</f>
        <v>-</v>
      </c>
      <c r="AA139" s="317">
        <f t="shared" si="11"/>
        <v>0.375</v>
      </c>
      <c r="AB139" s="226"/>
      <c r="AC139" s="214"/>
      <c r="AD139" s="214"/>
      <c r="AE139" s="214"/>
      <c r="AH139" s="275"/>
    </row>
    <row r="140" spans="1:35" ht="15">
      <c r="A140" s="222">
        <v>110</v>
      </c>
      <c r="B140" s="405" t="s">
        <v>755</v>
      </c>
      <c r="C140" s="214">
        <v>3552.70507409118</v>
      </c>
      <c r="D140" s="214">
        <v>3469.0653947539017</v>
      </c>
      <c r="E140" s="64">
        <f t="shared" si="15"/>
        <v>3510.8852344225406</v>
      </c>
      <c r="F140" s="315" t="s">
        <v>43</v>
      </c>
      <c r="G140" s="315">
        <v>10</v>
      </c>
      <c r="H140" s="315">
        <v>6</v>
      </c>
      <c r="I140" s="222">
        <v>1.2</v>
      </c>
      <c r="J140" s="316">
        <v>75</v>
      </c>
      <c r="K140" s="316">
        <v>10</v>
      </c>
      <c r="L140" s="269">
        <v>2000</v>
      </c>
      <c r="M140" s="209">
        <v>0.5</v>
      </c>
      <c r="N140" s="209">
        <v>0.75</v>
      </c>
      <c r="O140" s="209">
        <v>0.000631</v>
      </c>
      <c r="P140" s="209">
        <v>1.6</v>
      </c>
      <c r="Q140" s="209">
        <v>0.6</v>
      </c>
      <c r="R140" s="209">
        <v>0.885</v>
      </c>
      <c r="S140" s="88">
        <f t="shared" si="12"/>
        <v>620.8698785881211</v>
      </c>
      <c r="T140" s="317">
        <f t="shared" si="13"/>
        <v>3.853353807779226</v>
      </c>
      <c r="U140" s="317">
        <f>((E140+S140)*(Rates!$E$5/1000))/(2*J140)</f>
        <v>0.16527020452042648</v>
      </c>
      <c r="V140" s="424">
        <f>(E140*(Rates!$E$6/1000))/J140</f>
        <v>0</v>
      </c>
      <c r="W140" s="317">
        <f>((E140+S140)*(Rates!$E$4/100))/(2*J140)</f>
        <v>1.3772517043368875</v>
      </c>
      <c r="X140" s="424">
        <f t="shared" si="14"/>
        <v>0.7309146414594504</v>
      </c>
      <c r="Y140" s="318" t="str">
        <f>IF(F140="-","-",IF(I140="-",IF(F140=1,H140*Rates!$E$12*Rates!$E$7,IF(F140=2,H140*Rates!$E$13*Rates!$E$8,IF(F140=3,H140*Rates!$E$14*Rates!$E$9,"-"))),IF(F140=1,(E140/1000)*Rates!$E$12*Rates!$E$7,IF(F140=2,(E140/1000)*Rates!$E$13*Rates!$E$8,IF(F140=3,(E140/1000)*Rates!$E$14*Rates!$E$9,"-")))))</f>
        <v>-</v>
      </c>
      <c r="Z140" s="324" t="str">
        <f>IF(Y140="-","-",Y140*(Rates!$E$10/100))</f>
        <v>-</v>
      </c>
      <c r="AA140" s="317">
        <f t="shared" si="11"/>
        <v>0.375</v>
      </c>
      <c r="AB140" s="226"/>
      <c r="AC140" s="214"/>
      <c r="AD140" s="225"/>
      <c r="AE140" s="225"/>
      <c r="AH140" s="275"/>
      <c r="AI140" s="275"/>
    </row>
    <row r="141" spans="1:35" ht="15">
      <c r="A141" s="222">
        <v>111</v>
      </c>
      <c r="B141" s="223" t="s">
        <v>756</v>
      </c>
      <c r="C141" s="214">
        <v>11976.783531507934</v>
      </c>
      <c r="D141" s="214">
        <v>11694.81970023675</v>
      </c>
      <c r="E141" s="64">
        <f t="shared" si="15"/>
        <v>11835.801615872342</v>
      </c>
      <c r="F141" s="315" t="s">
        <v>43</v>
      </c>
      <c r="G141" s="315">
        <v>11</v>
      </c>
      <c r="H141" s="315">
        <v>12</v>
      </c>
      <c r="I141" s="222">
        <v>1</v>
      </c>
      <c r="J141" s="328">
        <v>100</v>
      </c>
      <c r="K141" s="328">
        <v>10</v>
      </c>
      <c r="L141" s="328">
        <v>2000</v>
      </c>
      <c r="M141" s="439">
        <v>0.5</v>
      </c>
      <c r="N141" s="329">
        <v>0.75</v>
      </c>
      <c r="O141" s="439">
        <v>0.000631</v>
      </c>
      <c r="P141" s="439">
        <v>1.6</v>
      </c>
      <c r="Q141" s="329">
        <v>0.6</v>
      </c>
      <c r="R141" s="329">
        <v>0.885</v>
      </c>
      <c r="S141" s="88">
        <f t="shared" si="12"/>
        <v>2093.059790217952</v>
      </c>
      <c r="T141" s="317">
        <f t="shared" si="13"/>
        <v>9.74274182565439</v>
      </c>
      <c r="U141" s="317">
        <f>((E141+S141)*(Rates!$E$5/1000))/(2*J141)</f>
        <v>0.41786584218270884</v>
      </c>
      <c r="V141" s="424">
        <f>(E141*(Rates!$E$6/1000))/J141</f>
        <v>0</v>
      </c>
      <c r="W141" s="317">
        <f>((E141+S141)*(Rates!$E$4/100))/(2*J141)</f>
        <v>3.4822153515225738</v>
      </c>
      <c r="X141" s="424">
        <f t="shared" si="14"/>
        <v>2.9282688492154056</v>
      </c>
      <c r="Y141" s="318" t="str">
        <f>IF(F141="-","-",IF(I141="-",IF(F141=1,H141*Rates!$E$12*Rates!$E$7,IF(F141=2,H141*Rates!$E$13*Rates!$E$8,IF(F141=3,H141*Rates!$E$14*Rates!$E$9,"-"))),IF(F141=1,(E141/1000)*Rates!$E$12*Rates!$E$7,IF(F141=2,(E141/1000)*Rates!$E$13*Rates!$E$8,IF(F141=3,(E141/1000)*Rates!$E$14*Rates!$E$9,"-")))))</f>
        <v>-</v>
      </c>
      <c r="Z141" s="324" t="str">
        <f>IF(Y141="-","-",Y141*(Rates!$E$10/100))</f>
        <v>-</v>
      </c>
      <c r="AA141" s="317">
        <f t="shared" si="11"/>
        <v>0.5</v>
      </c>
      <c r="AB141" s="226"/>
      <c r="AC141" s="214"/>
      <c r="AD141" s="214"/>
      <c r="AE141" s="214"/>
      <c r="AH141" s="275"/>
      <c r="AI141" s="275"/>
    </row>
    <row r="142" spans="1:35" ht="15">
      <c r="A142" s="222">
        <v>112</v>
      </c>
      <c r="B142" s="223" t="s">
        <v>757</v>
      </c>
      <c r="C142" s="214">
        <v>36663.62305563653</v>
      </c>
      <c r="D142" s="214">
        <v>35800.468470112515</v>
      </c>
      <c r="E142" s="64">
        <f t="shared" si="15"/>
        <v>36232.04576287452</v>
      </c>
      <c r="F142" s="315">
        <v>1</v>
      </c>
      <c r="G142" s="315" t="s">
        <v>43</v>
      </c>
      <c r="H142" s="315">
        <v>2</v>
      </c>
      <c r="I142" s="322">
        <v>20</v>
      </c>
      <c r="J142" s="328">
        <v>1500</v>
      </c>
      <c r="K142" s="328">
        <v>8</v>
      </c>
      <c r="L142" s="328">
        <v>12000</v>
      </c>
      <c r="M142" s="329">
        <v>0.88</v>
      </c>
      <c r="N142" s="329">
        <v>0.8</v>
      </c>
      <c r="O142" s="329">
        <v>0.000631</v>
      </c>
      <c r="P142" s="329">
        <v>1.4</v>
      </c>
      <c r="Q142" s="329">
        <v>0.67</v>
      </c>
      <c r="R142" s="329">
        <v>0.86</v>
      </c>
      <c r="S142" s="330">
        <f t="shared" si="12"/>
        <v>7263.656010758833</v>
      </c>
      <c r="T142" s="324">
        <f t="shared" si="13"/>
        <v>2.414032479342974</v>
      </c>
      <c r="U142" s="324">
        <f>((E142+S142)*(Rates!$E$5/1000))/(2*J142)</f>
        <v>0.0869914035472667</v>
      </c>
      <c r="V142" s="440">
        <f>(E142*(Rates!$E$6/1000))/J142</f>
        <v>0</v>
      </c>
      <c r="W142" s="324">
        <f>((E142+S142)*(Rates!$E$4/100))/(2*J142)</f>
        <v>0.7249283628938893</v>
      </c>
      <c r="X142" s="440">
        <f t="shared" si="14"/>
        <v>2.415469717524968</v>
      </c>
      <c r="Y142" s="318">
        <f>IF(F142="-","-",IF(I142="-",IF(F142=1,H142*Rates!$E$12*Rates!$E$7,IF(F142=2,H142*Rates!$E$13*Rates!$E$8,IF(F142=3,H142*Rates!$E$14*Rates!$E$9,"-"))),IF(F142=1,(E142/1000)*Rates!$E$12*Rates!$E$7,IF(F142=2,(E142/1000)*Rates!$E$13*Rates!$E$8,IF(F142=3,(E142/1000)*Rates!$E$14*Rates!$E$9,"-")))))</f>
        <v>3.652190212897752</v>
      </c>
      <c r="Z142" s="324">
        <f>IF(Y142="-","-",Y142*(Rates!$E$10/100))</f>
        <v>0.5478285319346627</v>
      </c>
      <c r="AA142" s="324">
        <f t="shared" si="11"/>
        <v>1</v>
      </c>
      <c r="AB142" s="226"/>
      <c r="AC142" s="214"/>
      <c r="AD142" s="214"/>
      <c r="AE142" s="214"/>
      <c r="AH142" s="275"/>
      <c r="AI142" s="275"/>
    </row>
    <row r="143" spans="1:34" ht="15">
      <c r="A143" s="376">
        <v>112.1</v>
      </c>
      <c r="B143" s="377" t="s">
        <v>833</v>
      </c>
      <c r="C143" s="225">
        <v>48667.5</v>
      </c>
      <c r="D143" s="225">
        <v>52500</v>
      </c>
      <c r="E143" s="64">
        <f>IF(C143=0,D143,IF(D143=0,C143,AVERAGE(C143,D143)))</f>
        <v>50583.75</v>
      </c>
      <c r="F143" s="378">
        <v>1</v>
      </c>
      <c r="G143" s="378" t="s">
        <v>43</v>
      </c>
      <c r="H143" s="378">
        <v>2.5</v>
      </c>
      <c r="I143" s="381">
        <v>15</v>
      </c>
      <c r="J143" s="382">
        <v>500</v>
      </c>
      <c r="K143" s="382">
        <v>8</v>
      </c>
      <c r="L143" s="382">
        <v>4000</v>
      </c>
      <c r="M143" s="383">
        <v>0.5</v>
      </c>
      <c r="N143" s="383">
        <v>0.75</v>
      </c>
      <c r="O143" s="383">
        <v>0.000631</v>
      </c>
      <c r="P143" s="383">
        <v>1.4</v>
      </c>
      <c r="Q143" s="383">
        <v>0.6</v>
      </c>
      <c r="R143" s="383">
        <v>0.86</v>
      </c>
      <c r="S143" s="330">
        <f>E143*Q143*(R143^K143)</f>
        <v>9081.338892166645</v>
      </c>
      <c r="T143" s="324">
        <f>(E143-S143)/(J143*K143)</f>
        <v>10.375602776958338</v>
      </c>
      <c r="U143" s="324">
        <f>((E143+S143)*(Rates!$E$5/1000))/(2*J143)</f>
        <v>0.35799053335299985</v>
      </c>
      <c r="V143" s="440">
        <f>(E143*(Rates!$E$6/1000))/J143</f>
        <v>0</v>
      </c>
      <c r="W143" s="324">
        <f>((E143+S143)*(Rates!$E$4/100))/(2*J143)</f>
        <v>2.9832544446083324</v>
      </c>
      <c r="X143" s="440">
        <f>((E143*N143)*(AA143^P143))/(J143*K143)</f>
        <v>9.484453125</v>
      </c>
      <c r="Y143" s="318">
        <f>IF(F143="-","-",IF(I143="-",IF(F143=1,H143*Rates!$E$12*Rates!$E$7,IF(F143=2,H143*Rates!$E$13*Rates!$E$8,IF(F143=3,H143*Rates!$E$14*Rates!$E$9,"-"))),IF(F143=1,(E143/1000)*Rates!$E$12*Rates!$E$7,IF(F143=2,(E143/1000)*Rates!$E$13*Rates!$E$8,IF(F143=3,(E143/1000)*Rates!$E$14*Rates!$E$9,"-")))))</f>
        <v>5.098842</v>
      </c>
      <c r="Z143" s="324">
        <f>IF(Y143="-","-",Y143*(Rates!$E$10/100))</f>
        <v>0.7648263000000001</v>
      </c>
      <c r="AA143" s="324">
        <f>(K143*J143)/L143</f>
        <v>1</v>
      </c>
      <c r="AB143" s="226"/>
      <c r="AC143" s="214"/>
      <c r="AD143" s="214"/>
      <c r="AE143" s="214"/>
      <c r="AH143" s="275"/>
    </row>
    <row r="144" spans="1:31" ht="15">
      <c r="A144" s="222">
        <v>113</v>
      </c>
      <c r="B144" s="405" t="s">
        <v>758</v>
      </c>
      <c r="C144" s="214">
        <v>611.0603842606088</v>
      </c>
      <c r="D144" s="214">
        <v>596.674474501875</v>
      </c>
      <c r="E144" s="64">
        <f t="shared" si="15"/>
        <v>603.8674293812419</v>
      </c>
      <c r="F144" s="315" t="s">
        <v>43</v>
      </c>
      <c r="G144" s="315">
        <v>10</v>
      </c>
      <c r="H144" s="315">
        <v>25</v>
      </c>
      <c r="I144" s="222">
        <v>4.3</v>
      </c>
      <c r="J144" s="316">
        <v>50</v>
      </c>
      <c r="K144" s="316">
        <v>10</v>
      </c>
      <c r="L144" s="269">
        <v>1000</v>
      </c>
      <c r="M144" s="209">
        <v>0.75</v>
      </c>
      <c r="N144" s="209">
        <v>0.75</v>
      </c>
      <c r="O144" s="209">
        <v>0.000631</v>
      </c>
      <c r="P144" s="209">
        <v>1.6</v>
      </c>
      <c r="Q144" s="209">
        <v>0.6</v>
      </c>
      <c r="R144" s="209">
        <v>0.885</v>
      </c>
      <c r="S144" s="88">
        <f t="shared" si="12"/>
        <v>106.78876480703836</v>
      </c>
      <c r="T144" s="317">
        <f t="shared" si="13"/>
        <v>0.994157329148407</v>
      </c>
      <c r="U144" s="317">
        <f>((E144+S144)*(Rates!$E$5/1000))/(2*J144)</f>
        <v>0.04263937165129681</v>
      </c>
      <c r="V144" s="424">
        <f>(E144*(Rates!$E$6/1000))/J144</f>
        <v>0</v>
      </c>
      <c r="W144" s="317">
        <f>((E144+S144)*(Rates!$E$4/100))/(2*J144)</f>
        <v>0.3553280970941401</v>
      </c>
      <c r="X144" s="424">
        <f t="shared" si="14"/>
        <v>0.29880294379749034</v>
      </c>
      <c r="Y144" s="318" t="str">
        <f>IF(F144="-","-",IF(I144="-",IF(F144=1,H144*Rates!$E$12*Rates!$E$7,IF(F144=2,H144*Rates!$E$13*Rates!$E$8,IF(F144=3,H144*Rates!$E$14*Rates!$E$9,"-"))),IF(F144=1,(E144/1000)*Rates!$E$12*Rates!$E$7,IF(F144=2,(E144/1000)*Rates!$E$13*Rates!$E$8,IF(F144=3,(E144/1000)*Rates!$E$14*Rates!$E$9,"-")))))</f>
        <v>-</v>
      </c>
      <c r="Z144" s="324" t="str">
        <f>IF(Y144="-","-",Y144*(Rates!$E$10/100))</f>
        <v>-</v>
      </c>
      <c r="AA144" s="317">
        <f t="shared" si="11"/>
        <v>0.5</v>
      </c>
      <c r="AB144" s="226"/>
      <c r="AC144" s="214"/>
      <c r="AD144" s="214"/>
      <c r="AE144" s="214"/>
    </row>
    <row r="145" spans="1:34" ht="15">
      <c r="A145" s="222">
        <v>114</v>
      </c>
      <c r="B145" s="405" t="s">
        <v>759</v>
      </c>
      <c r="C145" s="214">
        <v>2840.8197264275723</v>
      </c>
      <c r="D145" s="214">
        <v>2773.939631959218</v>
      </c>
      <c r="E145" s="64">
        <f t="shared" si="15"/>
        <v>2807.379679193395</v>
      </c>
      <c r="F145" s="315" t="s">
        <v>43</v>
      </c>
      <c r="G145" s="315">
        <v>10</v>
      </c>
      <c r="H145" s="315">
        <v>12</v>
      </c>
      <c r="I145" s="222">
        <v>5.4</v>
      </c>
      <c r="J145" s="316">
        <v>80</v>
      </c>
      <c r="K145" s="316">
        <v>8</v>
      </c>
      <c r="L145" s="269">
        <v>1500</v>
      </c>
      <c r="M145" s="209">
        <v>0.77</v>
      </c>
      <c r="N145" s="209">
        <v>1</v>
      </c>
      <c r="O145" s="209">
        <v>0.00251</v>
      </c>
      <c r="P145" s="209">
        <v>1.3</v>
      </c>
      <c r="Q145" s="209">
        <v>0.56</v>
      </c>
      <c r="R145" s="209">
        <v>0.885</v>
      </c>
      <c r="S145" s="88">
        <f t="shared" si="12"/>
        <v>591.6097797551494</v>
      </c>
      <c r="T145" s="317">
        <f t="shared" si="13"/>
        <v>3.462140467872259</v>
      </c>
      <c r="U145" s="317">
        <f>((E145+S145)*(Rates!$E$5/1000))/(2*J145)</f>
        <v>0.12746210471057043</v>
      </c>
      <c r="V145" s="424">
        <f>(E145*(Rates!$E$6/1000))/J145</f>
        <v>0</v>
      </c>
      <c r="W145" s="317">
        <f>((E145+S145)*(Rates!$E$4/100))/(2*J145)</f>
        <v>1.0621842059214202</v>
      </c>
      <c r="X145" s="424">
        <f t="shared" si="14"/>
        <v>1.4495610383995505</v>
      </c>
      <c r="Y145" s="318" t="str">
        <f>IF(F145="-","-",IF(I145="-",IF(F145=1,H145*Rates!$E$12*Rates!$E$7,IF(F145=2,H145*Rates!$E$13*Rates!$E$8,IF(F145=3,H145*Rates!$E$14*Rates!$E$9,"-"))),IF(F145=1,(E145/1000)*Rates!$E$12*Rates!$E$7,IF(F145=2,(E145/1000)*Rates!$E$13*Rates!$E$8,IF(F145=3,(E145/1000)*Rates!$E$14*Rates!$E$9,"-")))))</f>
        <v>-</v>
      </c>
      <c r="Z145" s="324" t="str">
        <f>IF(Y145="-","-",Y145*(Rates!$E$10/100))</f>
        <v>-</v>
      </c>
      <c r="AA145" s="317">
        <f t="shared" si="11"/>
        <v>0.4266666666666667</v>
      </c>
      <c r="AB145" s="226"/>
      <c r="AC145" s="214"/>
      <c r="AD145" s="214"/>
      <c r="AE145" s="214"/>
      <c r="AH145" s="275"/>
    </row>
    <row r="146" spans="1:35" ht="15">
      <c r="A146" s="222">
        <v>115</v>
      </c>
      <c r="B146" s="405" t="s">
        <v>760</v>
      </c>
      <c r="C146" s="214">
        <v>10999.08691669096</v>
      </c>
      <c r="D146" s="214">
        <v>13102.971460061179</v>
      </c>
      <c r="E146" s="64">
        <f t="shared" si="15"/>
        <v>12051.02918837607</v>
      </c>
      <c r="F146" s="315" t="s">
        <v>43</v>
      </c>
      <c r="G146" s="315">
        <v>16</v>
      </c>
      <c r="H146" s="315">
        <v>12</v>
      </c>
      <c r="I146" s="222">
        <v>3.8</v>
      </c>
      <c r="J146" s="316">
        <v>100</v>
      </c>
      <c r="K146" s="316">
        <v>12</v>
      </c>
      <c r="L146" s="269">
        <v>1440</v>
      </c>
      <c r="M146" s="209">
        <v>0.75</v>
      </c>
      <c r="N146" s="209">
        <v>0.8</v>
      </c>
      <c r="O146" s="209">
        <v>0.000631</v>
      </c>
      <c r="P146" s="209">
        <v>1.6</v>
      </c>
      <c r="Q146" s="209">
        <v>0.6</v>
      </c>
      <c r="R146" s="209">
        <v>0.885</v>
      </c>
      <c r="S146" s="88">
        <f t="shared" si="12"/>
        <v>1669.1471955621278</v>
      </c>
      <c r="T146" s="317">
        <f t="shared" si="13"/>
        <v>8.651568327344952</v>
      </c>
      <c r="U146" s="317">
        <f>((E146+S146)*(Rates!$E$5/1000))/(2*J146)</f>
        <v>0.41160529151814595</v>
      </c>
      <c r="V146" s="424">
        <f>(E146*(Rates!$E$6/1000))/J146</f>
        <v>0</v>
      </c>
      <c r="W146" s="317">
        <f>((E146+S146)*(Rates!$E$4/100))/(2*J146)</f>
        <v>3.4300440959845493</v>
      </c>
      <c r="X146" s="424">
        <f t="shared" si="14"/>
        <v>6.00126612100962</v>
      </c>
      <c r="Y146" s="318" t="str">
        <f>IF(F146="-","-",IF(I146="-",IF(F146=1,H146*Rates!$E$12*Rates!$E$7,IF(F146=2,H146*Rates!$E$13*Rates!$E$8,IF(F146=3,H146*Rates!$E$14*Rates!$E$9,"-"))),IF(F146=1,(E146/1000)*Rates!$E$12*Rates!$E$7,IF(F146=2,(E146/1000)*Rates!$E$13*Rates!$E$8,IF(F146=3,(E146/1000)*Rates!$E$14*Rates!$E$9,"-")))))</f>
        <v>-</v>
      </c>
      <c r="Z146" s="324" t="str">
        <f>IF(Y146="-","-",Y146*(Rates!$E$10/100))</f>
        <v>-</v>
      </c>
      <c r="AA146" s="317">
        <f t="shared" si="11"/>
        <v>0.8333333333333334</v>
      </c>
      <c r="AB146" s="226"/>
      <c r="AC146" s="214"/>
      <c r="AD146" s="214"/>
      <c r="AE146" s="214"/>
      <c r="AI146" s="275"/>
    </row>
    <row r="147" spans="1:35" ht="15">
      <c r="A147" s="227">
        <v>116</v>
      </c>
      <c r="B147" s="405" t="s">
        <v>761</v>
      </c>
      <c r="C147" s="214">
        <v>27497.717291727407</v>
      </c>
      <c r="D147" s="214">
        <v>21050.675460426155</v>
      </c>
      <c r="E147" s="64">
        <f t="shared" si="15"/>
        <v>24274.196376076783</v>
      </c>
      <c r="F147" s="315" t="s">
        <v>43</v>
      </c>
      <c r="G147" s="315">
        <v>12</v>
      </c>
      <c r="H147" s="315">
        <v>32</v>
      </c>
      <c r="I147" s="222">
        <v>4</v>
      </c>
      <c r="J147" s="316">
        <v>250</v>
      </c>
      <c r="K147" s="316">
        <v>12</v>
      </c>
      <c r="L147" s="269">
        <v>2500</v>
      </c>
      <c r="M147" s="209">
        <v>0.6</v>
      </c>
      <c r="N147" s="209">
        <v>0.75</v>
      </c>
      <c r="O147" s="209">
        <v>0.000251</v>
      </c>
      <c r="P147" s="209">
        <v>1.8</v>
      </c>
      <c r="Q147" s="209">
        <v>0.585</v>
      </c>
      <c r="R147" s="209">
        <v>0.875</v>
      </c>
      <c r="S147" s="88">
        <f t="shared" si="12"/>
        <v>2860.2063294184336</v>
      </c>
      <c r="T147" s="317">
        <f t="shared" si="13"/>
        <v>7.13799668221945</v>
      </c>
      <c r="U147" s="317">
        <f>((E147+S147)*(Rates!$E$5/1000))/(2*J147)</f>
        <v>0.32561283246594264</v>
      </c>
      <c r="V147" s="424">
        <f>(E147*(Rates!$E$6/1000))/J147</f>
        <v>0</v>
      </c>
      <c r="W147" s="317">
        <f>((E147+S147)*(Rates!$E$4/100))/(2*J147)</f>
        <v>2.7134402705495217</v>
      </c>
      <c r="X147" s="424">
        <f t="shared" si="14"/>
        <v>8.42579934714035</v>
      </c>
      <c r="Y147" s="318" t="str">
        <f>IF(F147="-","-",IF(I147="-",IF(F147=1,H147*Rates!$E$12*Rates!$E$7,IF(F147=2,H147*Rates!$E$13*Rates!$E$8,IF(F147=3,H147*Rates!$E$14*Rates!$E$9,"-"))),IF(F147=1,(E147/1000)*Rates!$E$12*Rates!$E$7,IF(F147=2,(E147/1000)*Rates!$E$13*Rates!$E$8,IF(F147=3,(E147/1000)*Rates!$E$14*Rates!$E$9,"-")))))</f>
        <v>-</v>
      </c>
      <c r="Z147" s="317" t="str">
        <f>IF(Y147="-","-",Y147*(Rates!$E$10/100))</f>
        <v>-</v>
      </c>
      <c r="AA147" s="317">
        <f t="shared" si="11"/>
        <v>1.2</v>
      </c>
      <c r="AB147" s="226"/>
      <c r="AC147" s="214"/>
      <c r="AD147" s="214"/>
      <c r="AE147" s="214"/>
      <c r="AI147" s="275"/>
    </row>
    <row r="148" spans="1:35" ht="15">
      <c r="A148" s="227">
        <v>117</v>
      </c>
      <c r="B148" s="405" t="s">
        <v>762</v>
      </c>
      <c r="C148" s="214">
        <v>5133.273864019671</v>
      </c>
      <c r="D148" s="214">
        <v>5477.471675927211</v>
      </c>
      <c r="E148" s="64">
        <f t="shared" si="15"/>
        <v>5305.372769973441</v>
      </c>
      <c r="F148" s="315" t="s">
        <v>43</v>
      </c>
      <c r="G148" s="315">
        <v>10</v>
      </c>
      <c r="H148" s="315">
        <v>8</v>
      </c>
      <c r="I148" s="222">
        <v>5.4</v>
      </c>
      <c r="J148" s="316">
        <v>75</v>
      </c>
      <c r="K148" s="316">
        <v>10</v>
      </c>
      <c r="L148" s="269">
        <v>2000</v>
      </c>
      <c r="M148" s="209">
        <v>0.75</v>
      </c>
      <c r="N148" s="209">
        <v>0.8</v>
      </c>
      <c r="O148" s="209">
        <v>0.000251</v>
      </c>
      <c r="P148" s="209">
        <v>1.3</v>
      </c>
      <c r="Q148" s="209">
        <v>0.6</v>
      </c>
      <c r="R148" s="209">
        <v>0.885</v>
      </c>
      <c r="S148" s="88">
        <f t="shared" si="12"/>
        <v>938.2095761099157</v>
      </c>
      <c r="T148" s="317">
        <f t="shared" si="13"/>
        <v>5.8228842584847005</v>
      </c>
      <c r="U148" s="317">
        <f>((E148+S148)*(Rates!$E$5/1000))/(2*J148)</f>
        <v>0.24974329384333424</v>
      </c>
      <c r="V148" s="424">
        <f>(E148*(Rates!$E$6/1000))/J148</f>
        <v>0</v>
      </c>
      <c r="W148" s="317">
        <f>((E148+S148)*(Rates!$E$4/100))/(2*J148)</f>
        <v>2.081194115361119</v>
      </c>
      <c r="X148" s="424">
        <f t="shared" si="14"/>
        <v>1.5811944295153022</v>
      </c>
      <c r="Y148" s="318" t="str">
        <f>IF(F148="-","-",IF(I148="-",IF(F148=1,H148*Rates!$E$12*Rates!$E$7,IF(F148=2,H148*Rates!$E$13*Rates!$E$8,IF(F148=3,H148*Rates!$E$14*Rates!$E$9,"-"))),IF(F148=1,(E148/1000)*Rates!$E$12*Rates!$E$7,IF(F148=2,(E148/1000)*Rates!$E$13*Rates!$E$8,IF(F148=3,(E148/1000)*Rates!$E$14*Rates!$E$9,"-")))))</f>
        <v>-</v>
      </c>
      <c r="Z148" s="324" t="str">
        <f>IF(Y148="-","-",Y148*(Rates!$E$10/100))</f>
        <v>-</v>
      </c>
      <c r="AA148" s="317">
        <f t="shared" si="11"/>
        <v>0.375</v>
      </c>
      <c r="AB148" s="226"/>
      <c r="AC148" s="214"/>
      <c r="AD148" s="214"/>
      <c r="AE148" s="214"/>
      <c r="AH148" s="275"/>
      <c r="AI148" s="275"/>
    </row>
    <row r="149" spans="1:35" ht="15">
      <c r="A149" s="227">
        <v>118</v>
      </c>
      <c r="B149" s="405" t="s">
        <v>763</v>
      </c>
      <c r="C149" s="214">
        <v>16498.630375036446</v>
      </c>
      <c r="D149" s="214">
        <v>27924.365406687753</v>
      </c>
      <c r="E149" s="64">
        <f t="shared" si="15"/>
        <v>22211.497890862098</v>
      </c>
      <c r="F149" s="315" t="s">
        <v>43</v>
      </c>
      <c r="G149" s="315">
        <v>10</v>
      </c>
      <c r="H149" s="315">
        <v>8</v>
      </c>
      <c r="I149" s="222">
        <v>4.5</v>
      </c>
      <c r="J149" s="328">
        <v>100</v>
      </c>
      <c r="K149" s="328">
        <v>12</v>
      </c>
      <c r="L149" s="328">
        <v>1440</v>
      </c>
      <c r="M149" s="439">
        <v>0.75</v>
      </c>
      <c r="N149" s="329">
        <v>0.8</v>
      </c>
      <c r="O149" s="439">
        <v>0.000631</v>
      </c>
      <c r="P149" s="439">
        <v>1.6</v>
      </c>
      <c r="Q149" s="329">
        <v>0.6</v>
      </c>
      <c r="R149" s="329">
        <v>0.885</v>
      </c>
      <c r="S149" s="88">
        <f t="shared" si="12"/>
        <v>3076.439267903102</v>
      </c>
      <c r="T149" s="317">
        <f t="shared" si="13"/>
        <v>15.945882185799164</v>
      </c>
      <c r="U149" s="317">
        <f>((E149+S149)*(Rates!$E$5/1000))/(2*J149)</f>
        <v>0.758638114762956</v>
      </c>
      <c r="V149" s="424">
        <f>(E149*(Rates!$E$6/1000))/J149</f>
        <v>0</v>
      </c>
      <c r="W149" s="317">
        <f>((E149+S149)*(Rates!$E$4/100))/(2*J149)</f>
        <v>6.3219842896913</v>
      </c>
      <c r="X149" s="424">
        <f t="shared" si="14"/>
        <v>11.061056089539663</v>
      </c>
      <c r="Y149" s="318" t="str">
        <f>IF(F149="-","-",IF(I149="-",IF(F149=1,H149*Rates!$E$12*Rates!$E$7,IF(F149=2,H149*Rates!$E$13*Rates!$E$8,IF(F149=3,H149*Rates!$E$14*Rates!$E$9,"-"))),IF(F149=1,(E149/1000)*Rates!$E$12*Rates!$E$7,IF(F149=2,(E149/1000)*Rates!$E$13*Rates!$E$8,IF(F149=3,(E149/1000)*Rates!$E$14*Rates!$E$9,"-")))))</f>
        <v>-</v>
      </c>
      <c r="Z149" s="324" t="str">
        <f>IF(Y149="-","-",Y149*(Rates!$E$10/100))</f>
        <v>-</v>
      </c>
      <c r="AA149" s="317">
        <f t="shared" si="11"/>
        <v>0.8333333333333334</v>
      </c>
      <c r="AB149" s="226"/>
      <c r="AC149" s="214"/>
      <c r="AD149" s="214"/>
      <c r="AE149" s="214"/>
      <c r="AI149" s="275"/>
    </row>
    <row r="150" spans="1:35" ht="15">
      <c r="A150" s="227">
        <v>119</v>
      </c>
      <c r="B150" s="405" t="s">
        <v>764</v>
      </c>
      <c r="C150" s="214">
        <v>8799.269533352768</v>
      </c>
      <c r="D150" s="214">
        <v>7518.098378723625</v>
      </c>
      <c r="E150" s="64">
        <f t="shared" si="15"/>
        <v>8158.683956038196</v>
      </c>
      <c r="F150" s="315" t="s">
        <v>43</v>
      </c>
      <c r="G150" s="315">
        <v>10</v>
      </c>
      <c r="H150" s="315">
        <v>14</v>
      </c>
      <c r="I150" s="222">
        <v>5</v>
      </c>
      <c r="J150" s="316">
        <v>100</v>
      </c>
      <c r="K150" s="316">
        <v>10</v>
      </c>
      <c r="L150" s="269">
        <v>2000</v>
      </c>
      <c r="M150" s="209">
        <v>0.8</v>
      </c>
      <c r="N150" s="209">
        <v>0.8</v>
      </c>
      <c r="O150" s="209">
        <v>0.00159</v>
      </c>
      <c r="P150" s="209">
        <v>1.4</v>
      </c>
      <c r="Q150" s="209">
        <v>0.6</v>
      </c>
      <c r="R150" s="209">
        <v>0.885</v>
      </c>
      <c r="S150" s="88">
        <f t="shared" si="12"/>
        <v>1442.7931359190213</v>
      </c>
      <c r="T150" s="317">
        <f t="shared" si="13"/>
        <v>6.715890820119174</v>
      </c>
      <c r="U150" s="317">
        <f>((E150+S150)*(Rates!$E$5/1000))/(2*J150)</f>
        <v>0.2880443127587165</v>
      </c>
      <c r="V150" s="424">
        <f>(E150*(Rates!$E$6/1000))/J150</f>
        <v>0</v>
      </c>
      <c r="W150" s="317">
        <f>((E150+S150)*(Rates!$E$4/100))/(2*J150)</f>
        <v>2.4003692729893045</v>
      </c>
      <c r="X150" s="424">
        <f t="shared" si="14"/>
        <v>2.4732504866179372</v>
      </c>
      <c r="Y150" s="318" t="str">
        <f>IF(F150="-","-",IF(I150="-",IF(F150=1,H150*Rates!$E$12*Rates!$E$7,IF(F150=2,H150*Rates!$E$13*Rates!$E$8,IF(F150=3,H150*Rates!$E$14*Rates!$E$9,"-"))),IF(F150=1,(E150/1000)*Rates!$E$12*Rates!$E$7,IF(F150=2,(E150/1000)*Rates!$E$13*Rates!$E$8,IF(F150=3,(E150/1000)*Rates!$E$14*Rates!$E$9,"-")))))</f>
        <v>-</v>
      </c>
      <c r="Z150" s="324" t="str">
        <f>IF(Y150="-","-",Y150*(Rates!$E$10/100))</f>
        <v>-</v>
      </c>
      <c r="AA150" s="317">
        <f t="shared" si="11"/>
        <v>0.5</v>
      </c>
      <c r="AB150" s="226"/>
      <c r="AC150" s="214"/>
      <c r="AD150" s="214"/>
      <c r="AE150" s="214"/>
      <c r="AH150" s="275"/>
      <c r="AI150" s="275"/>
    </row>
    <row r="151" spans="1:35" ht="15">
      <c r="A151" s="227">
        <v>120</v>
      </c>
      <c r="B151" s="405" t="s">
        <v>765</v>
      </c>
      <c r="C151" s="214">
        <v>3574.703247924562</v>
      </c>
      <c r="D151" s="214">
        <v>3490.545675835969</v>
      </c>
      <c r="E151" s="64">
        <f t="shared" si="15"/>
        <v>3532.6244618802657</v>
      </c>
      <c r="F151" s="315" t="s">
        <v>43</v>
      </c>
      <c r="G151" s="315">
        <v>10</v>
      </c>
      <c r="H151" s="315">
        <v>7</v>
      </c>
      <c r="I151" s="222">
        <v>4</v>
      </c>
      <c r="J151" s="316">
        <v>100</v>
      </c>
      <c r="K151" s="316">
        <v>10</v>
      </c>
      <c r="L151" s="269">
        <v>2000</v>
      </c>
      <c r="M151" s="209">
        <v>0.6</v>
      </c>
      <c r="N151" s="209">
        <v>0.8</v>
      </c>
      <c r="O151" s="209">
        <v>0.00159</v>
      </c>
      <c r="P151" s="209">
        <v>1.4</v>
      </c>
      <c r="Q151" s="209">
        <v>0.6</v>
      </c>
      <c r="R151" s="209">
        <v>0.885</v>
      </c>
      <c r="S151" s="88">
        <f t="shared" si="12"/>
        <v>624.7142741211745</v>
      </c>
      <c r="T151" s="317">
        <f t="shared" si="13"/>
        <v>2.907910187759091</v>
      </c>
      <c r="U151" s="317">
        <f>((E151+S151)*(Rates!$E$5/1000))/(2*J151)</f>
        <v>0.12472016208004322</v>
      </c>
      <c r="V151" s="424">
        <f>(E151*(Rates!$E$6/1000))/J151</f>
        <v>0</v>
      </c>
      <c r="W151" s="317">
        <f>((E151+S151)*(Rates!$E$4/100))/(2*J151)</f>
        <v>1.03933468400036</v>
      </c>
      <c r="X151" s="424">
        <f t="shared" si="14"/>
        <v>1.0708914840263601</v>
      </c>
      <c r="Y151" s="318" t="str">
        <f>IF(F151="-","-",IF(I151="-",IF(F151=1,H151*Rates!$E$12*Rates!$E$7,IF(F151=2,H151*Rates!$E$13*Rates!$E$8,IF(F151=3,H151*Rates!$E$14*Rates!$E$9,"-"))),IF(F151=1,(E151/1000)*Rates!$E$12*Rates!$E$7,IF(F151=2,(E151/1000)*Rates!$E$13*Rates!$E$8,IF(F151=3,(E151/1000)*Rates!$E$14*Rates!$E$9,"-")))))</f>
        <v>-</v>
      </c>
      <c r="Z151" s="324" t="str">
        <f>IF(Y151="-","-",Y151*(Rates!$E$10/100))</f>
        <v>-</v>
      </c>
      <c r="AA151" s="317">
        <f t="shared" si="11"/>
        <v>0.5</v>
      </c>
      <c r="AB151" s="226"/>
      <c r="AC151" s="214"/>
      <c r="AD151" s="214"/>
      <c r="AE151" s="214"/>
      <c r="AH151" s="275"/>
      <c r="AI151" s="275"/>
    </row>
    <row r="152" spans="1:35" ht="15">
      <c r="A152" s="227">
        <v>121</v>
      </c>
      <c r="B152" s="405" t="s">
        <v>766</v>
      </c>
      <c r="C152" s="214">
        <v>20898.265141712825</v>
      </c>
      <c r="D152" s="214">
        <v>27924.365406687753</v>
      </c>
      <c r="E152" s="64">
        <f t="shared" si="15"/>
        <v>24411.31527420029</v>
      </c>
      <c r="F152" s="315" t="s">
        <v>43</v>
      </c>
      <c r="G152" s="315">
        <v>14</v>
      </c>
      <c r="H152" s="315">
        <v>26</v>
      </c>
      <c r="I152" s="222">
        <v>4</v>
      </c>
      <c r="J152" s="316">
        <v>100</v>
      </c>
      <c r="K152" s="316">
        <v>12</v>
      </c>
      <c r="L152" s="269">
        <v>2000</v>
      </c>
      <c r="M152" s="209">
        <v>0.67</v>
      </c>
      <c r="N152" s="209">
        <v>0.8</v>
      </c>
      <c r="O152" s="209">
        <v>0.000631</v>
      </c>
      <c r="P152" s="209">
        <v>1.6</v>
      </c>
      <c r="Q152" s="209">
        <v>0.6</v>
      </c>
      <c r="R152" s="209">
        <v>0.885</v>
      </c>
      <c r="S152" s="88">
        <f t="shared" si="12"/>
        <v>3381.128515497776</v>
      </c>
      <c r="T152" s="317">
        <f t="shared" si="13"/>
        <v>17.525155632252094</v>
      </c>
      <c r="U152" s="317">
        <f>((E152+S152)*(Rates!$E$5/1000))/(2*J152)</f>
        <v>0.8337733136909421</v>
      </c>
      <c r="V152" s="424">
        <f>(E152*(Rates!$E$6/1000))/J152</f>
        <v>0</v>
      </c>
      <c r="W152" s="317">
        <f>((E152+S152)*(Rates!$E$4/100))/(2*J152)</f>
        <v>6.948110947424517</v>
      </c>
      <c r="X152" s="424">
        <f t="shared" si="14"/>
        <v>7.186905282651696</v>
      </c>
      <c r="Y152" s="318" t="str">
        <f>IF(F152="-","-",IF(I152="-",IF(F152=1,H152*Rates!$E$12*Rates!$E$7,IF(F152=2,H152*Rates!$E$13*Rates!$E$8,IF(F152=3,H152*Rates!$E$14*Rates!$E$9,"-"))),IF(F152=1,(E152/1000)*Rates!$E$12*Rates!$E$7,IF(F152=2,(E152/1000)*Rates!$E$13*Rates!$E$8,IF(F152=3,(E152/1000)*Rates!$E$14*Rates!$E$9,"-")))))</f>
        <v>-</v>
      </c>
      <c r="Z152" s="324" t="str">
        <f>IF(Y152="-","-",Y152*(Rates!$E$10/100))</f>
        <v>-</v>
      </c>
      <c r="AA152" s="317">
        <f t="shared" si="11"/>
        <v>0.6</v>
      </c>
      <c r="AB152" s="226"/>
      <c r="AC152" s="214"/>
      <c r="AD152" s="214"/>
      <c r="AE152" s="214"/>
      <c r="AH152" s="275"/>
      <c r="AI152" s="275"/>
    </row>
    <row r="153" spans="1:35" ht="15">
      <c r="A153" s="227">
        <v>122</v>
      </c>
      <c r="B153" s="405" t="s">
        <v>767</v>
      </c>
      <c r="C153" s="214">
        <v>13748.858645863704</v>
      </c>
      <c r="D153" s="214">
        <v>20943.274055015816</v>
      </c>
      <c r="E153" s="64">
        <f t="shared" si="15"/>
        <v>17346.06635043976</v>
      </c>
      <c r="F153" s="315" t="s">
        <v>43</v>
      </c>
      <c r="G153" s="315">
        <v>17</v>
      </c>
      <c r="H153" s="315">
        <v>26</v>
      </c>
      <c r="I153" s="222">
        <v>3.5</v>
      </c>
      <c r="J153" s="316">
        <v>100</v>
      </c>
      <c r="K153" s="316">
        <v>12</v>
      </c>
      <c r="L153" s="269">
        <v>1440</v>
      </c>
      <c r="M153" s="209">
        <v>0.75</v>
      </c>
      <c r="N153" s="209">
        <v>0.8</v>
      </c>
      <c r="O153" s="209">
        <v>0.000631</v>
      </c>
      <c r="P153" s="209">
        <v>1.6</v>
      </c>
      <c r="Q153" s="209">
        <v>0.6</v>
      </c>
      <c r="R153" s="209">
        <v>0.885</v>
      </c>
      <c r="S153" s="88">
        <f t="shared" si="12"/>
        <v>2402.5448408006623</v>
      </c>
      <c r="T153" s="317">
        <f t="shared" si="13"/>
        <v>12.452934591365914</v>
      </c>
      <c r="U153" s="317">
        <f>((E153+S153)*(Rates!$E$5/1000))/(2*J153)</f>
        <v>0.5924583357372127</v>
      </c>
      <c r="V153" s="424">
        <f>(E153*(Rates!$E$6/1000))/J153</f>
        <v>0</v>
      </c>
      <c r="W153" s="317">
        <f>((E153+S153)*(Rates!$E$4/100))/(2*J153)</f>
        <v>4.937152797810106</v>
      </c>
      <c r="X153" s="424">
        <f t="shared" si="14"/>
        <v>8.638130295301927</v>
      </c>
      <c r="Y153" s="318" t="str">
        <f>IF(F153="-","-",IF(I153="-",IF(F153=1,H153*Rates!$E$12*Rates!$E$7,IF(F153=2,H153*Rates!$E$13*Rates!$E$8,IF(F153=3,H153*Rates!$E$14*Rates!$E$9,"-"))),IF(F153=1,(E153/1000)*Rates!$E$12*Rates!$E$7,IF(F153=2,(E153/1000)*Rates!$E$13*Rates!$E$8,IF(F153=3,(E153/1000)*Rates!$E$14*Rates!$E$9,"-")))))</f>
        <v>-</v>
      </c>
      <c r="Z153" s="324" t="str">
        <f>IF(Y153="-","-",Y153*(Rates!$E$10/100))</f>
        <v>-</v>
      </c>
      <c r="AA153" s="317">
        <f t="shared" si="11"/>
        <v>0.8333333333333334</v>
      </c>
      <c r="AB153" s="226"/>
      <c r="AC153" s="214"/>
      <c r="AD153" s="214"/>
      <c r="AE153" s="214"/>
      <c r="AI153" s="275"/>
    </row>
    <row r="154" spans="1:35" ht="15">
      <c r="A154" s="227">
        <v>123</v>
      </c>
      <c r="B154" s="405" t="s">
        <v>768</v>
      </c>
      <c r="C154" s="214">
        <v>12472.96456352755</v>
      </c>
      <c r="D154" s="214">
        <v>6229.281513799576</v>
      </c>
      <c r="E154" s="64">
        <f t="shared" si="15"/>
        <v>9351.123038663563</v>
      </c>
      <c r="F154" s="315" t="s">
        <v>43</v>
      </c>
      <c r="G154" s="315">
        <v>14</v>
      </c>
      <c r="H154" s="315">
        <v>25</v>
      </c>
      <c r="I154" s="222">
        <v>4.5</v>
      </c>
      <c r="J154" s="316">
        <v>125</v>
      </c>
      <c r="K154" s="316">
        <v>15</v>
      </c>
      <c r="L154" s="269">
        <v>2500</v>
      </c>
      <c r="M154" s="209">
        <v>0.8</v>
      </c>
      <c r="N154" s="209">
        <v>1</v>
      </c>
      <c r="O154" s="209">
        <v>0.000251</v>
      </c>
      <c r="P154" s="209">
        <v>1.8</v>
      </c>
      <c r="Q154" s="209">
        <v>0.6</v>
      </c>
      <c r="R154" s="209">
        <v>0.885</v>
      </c>
      <c r="S154" s="88">
        <f t="shared" si="12"/>
        <v>897.7679189740878</v>
      </c>
      <c r="T154" s="317">
        <f t="shared" si="13"/>
        <v>4.5084560638343865</v>
      </c>
      <c r="U154" s="317">
        <f>((E154+S154)*(Rates!$E$5/1000))/(2*J154)</f>
        <v>0.24597338298330365</v>
      </c>
      <c r="V154" s="424">
        <f>(E154*(Rates!$E$6/1000))/J154</f>
        <v>0</v>
      </c>
      <c r="W154" s="317">
        <f>((E154+S154)*(Rates!$E$4/100))/(2*J154)</f>
        <v>2.0497781915275306</v>
      </c>
      <c r="X154" s="424">
        <f t="shared" si="14"/>
        <v>2.9714797389399785</v>
      </c>
      <c r="Y154" s="318" t="str">
        <f>IF(F154="-","-",IF(I154="-",IF(F154=1,H154*Rates!$E$12*Rates!$E$7,IF(F154=2,H154*Rates!$E$13*Rates!$E$8,IF(F154=3,H154*Rates!$E$14*Rates!$E$9,"-"))),IF(F154=1,(E154/1000)*Rates!$E$12*Rates!$E$7,IF(F154=2,(E154/1000)*Rates!$E$13*Rates!$E$8,IF(F154=3,(E154/1000)*Rates!$E$14*Rates!$E$9,"-")))))</f>
        <v>-</v>
      </c>
      <c r="Z154" s="324" t="str">
        <f>IF(Y154="-","-",Y154*(Rates!$E$10/100))</f>
        <v>-</v>
      </c>
      <c r="AA154" s="317">
        <f t="shared" si="11"/>
        <v>0.75</v>
      </c>
      <c r="AB154" s="226"/>
      <c r="AC154" s="214"/>
      <c r="AD154" s="214"/>
      <c r="AE154" s="214"/>
      <c r="AI154" s="275"/>
    </row>
    <row r="155" spans="1:35" ht="15">
      <c r="A155" s="227">
        <v>124</v>
      </c>
      <c r="B155" s="405" t="s">
        <v>769</v>
      </c>
      <c r="C155" s="214">
        <v>15398.721683367346</v>
      </c>
      <c r="D155" s="214">
        <v>21480.2810820675</v>
      </c>
      <c r="E155" s="64">
        <f t="shared" si="15"/>
        <v>18439.501382717423</v>
      </c>
      <c r="F155" s="315" t="s">
        <v>43</v>
      </c>
      <c r="G155" s="315">
        <v>10</v>
      </c>
      <c r="H155" s="315">
        <v>3</v>
      </c>
      <c r="I155" s="222">
        <v>20</v>
      </c>
      <c r="J155" s="316">
        <v>150</v>
      </c>
      <c r="K155" s="316">
        <v>12</v>
      </c>
      <c r="L155" s="269">
        <v>1100</v>
      </c>
      <c r="M155" s="209">
        <v>0.4</v>
      </c>
      <c r="N155" s="209">
        <v>0.5</v>
      </c>
      <c r="O155" s="209">
        <v>0.00251</v>
      </c>
      <c r="P155" s="209">
        <v>1.3</v>
      </c>
      <c r="Q155" s="209">
        <v>0.635</v>
      </c>
      <c r="R155" s="209">
        <v>0.885</v>
      </c>
      <c r="S155" s="88">
        <f t="shared" si="12"/>
        <v>2702.9757344827744</v>
      </c>
      <c r="T155" s="317">
        <f t="shared" si="13"/>
        <v>8.74251424901925</v>
      </c>
      <c r="U155" s="317">
        <f>((E155+S155)*(Rates!$E$5/1000))/(2*J155)</f>
        <v>0.4228495423440039</v>
      </c>
      <c r="V155" s="424">
        <f>(E155*(Rates!$E$6/1000))/J155</f>
        <v>0</v>
      </c>
      <c r="W155" s="317">
        <f>((E155+S155)*(Rates!$E$4/100))/(2*J155)</f>
        <v>3.5237461862000328</v>
      </c>
      <c r="X155" s="424">
        <f t="shared" si="14"/>
        <v>9.716065600760947</v>
      </c>
      <c r="Y155" s="318" t="str">
        <f>IF(F155="-","-",IF(I155="-",IF(F155=1,H155*Rates!$E$12*Rates!$E$7,IF(F155=2,H155*Rates!$E$13*Rates!$E$8,IF(F155=3,H155*Rates!$E$14*Rates!$E$9,"-"))),IF(F155=1,(E155/1000)*Rates!$E$12*Rates!$E$7,IF(F155=2,(E155/1000)*Rates!$E$13*Rates!$E$8,IF(F155=3,(E155/1000)*Rates!$E$14*Rates!$E$9,"-")))))</f>
        <v>-</v>
      </c>
      <c r="Z155" s="324" t="str">
        <f>IF(Y155="-","-",Y155*(Rates!$E$10/100))</f>
        <v>-</v>
      </c>
      <c r="AA155" s="317">
        <f t="shared" si="11"/>
        <v>1.6363636363636365</v>
      </c>
      <c r="AB155" s="226"/>
      <c r="AC155" s="214"/>
      <c r="AD155" s="214"/>
      <c r="AE155" s="214"/>
      <c r="AI155" s="275"/>
    </row>
    <row r="156" spans="1:35" ht="15">
      <c r="A156" s="222">
        <v>125</v>
      </c>
      <c r="B156" s="405" t="s">
        <v>770</v>
      </c>
      <c r="C156" s="214">
        <v>3299.7260750072883</v>
      </c>
      <c r="D156" s="214">
        <v>3759.0491893618123</v>
      </c>
      <c r="E156" s="64">
        <f t="shared" si="15"/>
        <v>3529.38763218455</v>
      </c>
      <c r="F156" s="315" t="s">
        <v>43</v>
      </c>
      <c r="G156" s="315">
        <v>11</v>
      </c>
      <c r="H156" s="315">
        <v>3</v>
      </c>
      <c r="I156" s="222">
        <v>20</v>
      </c>
      <c r="J156" s="316">
        <v>50</v>
      </c>
      <c r="K156" s="316">
        <v>10</v>
      </c>
      <c r="L156" s="269">
        <v>1000</v>
      </c>
      <c r="M156" s="209">
        <v>0.9</v>
      </c>
      <c r="N156" s="209">
        <v>1</v>
      </c>
      <c r="O156" s="209">
        <v>0.00251</v>
      </c>
      <c r="P156" s="209">
        <v>1.3</v>
      </c>
      <c r="Q156" s="209">
        <v>0.635</v>
      </c>
      <c r="R156" s="209">
        <v>0.895</v>
      </c>
      <c r="S156" s="88">
        <f t="shared" si="12"/>
        <v>739.1004010533826</v>
      </c>
      <c r="T156" s="317">
        <f t="shared" si="13"/>
        <v>5.5805744622623354</v>
      </c>
      <c r="U156" s="317">
        <f>((E156+S156)*(Rates!$E$5/1000))/(2*J156)</f>
        <v>0.25610928199427596</v>
      </c>
      <c r="V156" s="424">
        <f>(E156*(Rates!$E$6/1000))/J156</f>
        <v>0</v>
      </c>
      <c r="W156" s="317">
        <f>((E156+S156)*(Rates!$E$4/100))/(2*J156)</f>
        <v>2.1342440166189665</v>
      </c>
      <c r="X156" s="424">
        <f t="shared" si="14"/>
        <v>2.8667535619119606</v>
      </c>
      <c r="Y156" s="318" t="str">
        <f>IF(F156="-","-",IF(I156="-",IF(F156=1,H156*Rates!$E$12*Rates!$E$7,IF(F156=2,H156*Rates!$E$13*Rates!$E$8,IF(F156=3,H156*Rates!$E$14*Rates!$E$9,"-"))),IF(F156=1,(E156/1000)*Rates!$E$12*Rates!$E$7,IF(F156=2,(E156/1000)*Rates!$E$13*Rates!$E$8,IF(F156=3,(E156/1000)*Rates!$E$14*Rates!$E$9,"-")))))</f>
        <v>-</v>
      </c>
      <c r="Z156" s="324" t="str">
        <f>IF(Y156="-","-",Y156*(Rates!$E$10/100))</f>
        <v>-</v>
      </c>
      <c r="AA156" s="317">
        <f t="shared" si="11"/>
        <v>0.5</v>
      </c>
      <c r="AB156" s="223"/>
      <c r="AC156" s="275"/>
      <c r="AD156" s="223"/>
      <c r="AE156" s="223"/>
      <c r="AF156" s="275"/>
      <c r="AG156" s="275"/>
      <c r="AH156" s="275"/>
      <c r="AI156" s="275"/>
    </row>
    <row r="157" spans="1:35" ht="15">
      <c r="A157" s="222">
        <v>126</v>
      </c>
      <c r="B157" s="405" t="s">
        <v>771</v>
      </c>
      <c r="C157" s="214">
        <v>8172.3215791013845</v>
      </c>
      <c r="D157" s="214">
        <v>7303.29556790295</v>
      </c>
      <c r="E157" s="64">
        <f t="shared" si="15"/>
        <v>7737.808573502167</v>
      </c>
      <c r="F157" s="315" t="s">
        <v>43</v>
      </c>
      <c r="G157" s="315">
        <v>12</v>
      </c>
      <c r="H157" s="315">
        <v>26</v>
      </c>
      <c r="I157" s="222">
        <v>3.8</v>
      </c>
      <c r="J157" s="328">
        <v>100</v>
      </c>
      <c r="K157" s="328">
        <v>10</v>
      </c>
      <c r="L157" s="269">
        <v>2000</v>
      </c>
      <c r="M157" s="329">
        <v>0.8</v>
      </c>
      <c r="N157" s="329">
        <v>1</v>
      </c>
      <c r="O157" s="329">
        <v>0.000251</v>
      </c>
      <c r="P157" s="329">
        <v>1.8</v>
      </c>
      <c r="Q157" s="329">
        <v>0.6</v>
      </c>
      <c r="R157" s="329">
        <v>0.885</v>
      </c>
      <c r="S157" s="88">
        <f t="shared" si="12"/>
        <v>1368.3649418288626</v>
      </c>
      <c r="T157" s="317">
        <f t="shared" si="13"/>
        <v>6.369443631673304</v>
      </c>
      <c r="U157" s="317">
        <f>((E157+S157)*(Rates!$E$5/1000))/(2*J157)</f>
        <v>0.27318520545993086</v>
      </c>
      <c r="V157" s="424">
        <f>(E157*(Rates!$E$6/1000))/J157</f>
        <v>0</v>
      </c>
      <c r="W157" s="317">
        <f>((E157+S157)*(Rates!$E$4/100))/(2*J157)</f>
        <v>2.2765433788327574</v>
      </c>
      <c r="X157" s="424">
        <f t="shared" si="14"/>
        <v>2.2221019949159735</v>
      </c>
      <c r="Y157" s="318" t="str">
        <f>IF(F157="-","-",IF(I157="-",IF(F157=1,H157*Rates!$E$12*Rates!$E$7,IF(F157=2,H157*Rates!$E$13*Rates!$E$8,IF(F157=3,H157*Rates!$E$14*Rates!$E$9,"-"))),IF(F157=1,(E157/1000)*Rates!$E$12*Rates!$E$7,IF(F157=2,(E157/1000)*Rates!$E$13*Rates!$E$8,IF(F157=3,(E157/1000)*Rates!$E$14*Rates!$E$9,"-")))))</f>
        <v>-</v>
      </c>
      <c r="Z157" s="324" t="str">
        <f>IF(Y157="-","-",Y157*(Rates!$E$10/100))</f>
        <v>-</v>
      </c>
      <c r="AA157" s="317">
        <f t="shared" si="11"/>
        <v>0.5</v>
      </c>
      <c r="AB157" s="223"/>
      <c r="AC157" s="275"/>
      <c r="AD157" s="223"/>
      <c r="AE157" s="223"/>
      <c r="AF157" s="275"/>
      <c r="AG157" s="275"/>
      <c r="AH157" s="275"/>
      <c r="AI157" s="275"/>
    </row>
    <row r="158" spans="1:35" ht="15">
      <c r="A158" s="222">
        <v>127</v>
      </c>
      <c r="B158" s="405" t="s">
        <v>772</v>
      </c>
      <c r="C158" s="214">
        <v>6979.558929304501</v>
      </c>
      <c r="D158" s="214">
        <v>5792.956063125001</v>
      </c>
      <c r="E158" s="64">
        <f t="shared" si="15"/>
        <v>6386.257496214751</v>
      </c>
      <c r="F158" s="315" t="s">
        <v>43</v>
      </c>
      <c r="G158" s="315">
        <v>10</v>
      </c>
      <c r="H158" s="315">
        <v>12</v>
      </c>
      <c r="I158" s="222">
        <v>5.5</v>
      </c>
      <c r="J158" s="316">
        <v>125</v>
      </c>
      <c r="K158" s="316">
        <v>8</v>
      </c>
      <c r="L158" s="269">
        <v>2000</v>
      </c>
      <c r="M158" s="209">
        <v>0.67</v>
      </c>
      <c r="N158" s="209">
        <v>0.85</v>
      </c>
      <c r="O158" s="209">
        <v>0.00251</v>
      </c>
      <c r="P158" s="209">
        <v>1.3</v>
      </c>
      <c r="Q158" s="209">
        <v>0.56</v>
      </c>
      <c r="R158" s="209">
        <v>0.885</v>
      </c>
      <c r="S158" s="88">
        <f t="shared" si="12"/>
        <v>1345.8002915661232</v>
      </c>
      <c r="T158" s="317">
        <f t="shared" si="13"/>
        <v>5.040457204648629</v>
      </c>
      <c r="U158" s="317">
        <f>((E158+S158)*(Rates!$E$5/1000))/(2*J158)</f>
        <v>0.18556938690674096</v>
      </c>
      <c r="V158" s="424">
        <f>(E158*(Rates!$E$6/1000))/J158</f>
        <v>0</v>
      </c>
      <c r="W158" s="317">
        <f>((E158+S158)*(Rates!$E$4/100))/(2*J158)</f>
        <v>1.5464115575561748</v>
      </c>
      <c r="X158" s="424">
        <f t="shared" si="14"/>
        <v>2.2045825058955715</v>
      </c>
      <c r="Y158" s="318" t="str">
        <f>IF(F158="-","-",IF(I158="-",IF(F158=1,H158*Rates!$E$12*Rates!$E$7,IF(F158=2,H158*Rates!$E$13*Rates!$E$8,IF(F158=3,H158*Rates!$E$14*Rates!$E$9,"-"))),IF(F158=1,(E158/1000)*Rates!$E$12*Rates!$E$7,IF(F158=2,(E158/1000)*Rates!$E$13*Rates!$E$8,IF(F158=3,(E158/1000)*Rates!$E$14*Rates!$E$9,"-")))))</f>
        <v>-</v>
      </c>
      <c r="Z158" s="324" t="str">
        <f>IF(Y158="-","-",Y158*(Rates!$E$10/100))</f>
        <v>-</v>
      </c>
      <c r="AA158" s="317">
        <f t="shared" si="11"/>
        <v>0.5</v>
      </c>
      <c r="AB158" s="223"/>
      <c r="AC158" s="275"/>
      <c r="AD158" s="223"/>
      <c r="AE158" s="223"/>
      <c r="AF158" s="275"/>
      <c r="AG158" s="275"/>
      <c r="AH158" s="275"/>
      <c r="AI158" s="275"/>
    </row>
    <row r="159" spans="1:35" ht="15">
      <c r="A159" s="276"/>
      <c r="B159" s="405"/>
      <c r="C159" s="405"/>
      <c r="D159" s="405"/>
      <c r="E159" s="84"/>
      <c r="F159" s="331"/>
      <c r="G159" s="331"/>
      <c r="H159" s="331"/>
      <c r="I159" s="332"/>
      <c r="J159" s="333"/>
      <c r="K159" s="333"/>
      <c r="L159" s="333"/>
      <c r="M159" s="405"/>
      <c r="N159" s="405"/>
      <c r="O159" s="405"/>
      <c r="P159" s="405"/>
      <c r="Q159" s="405"/>
      <c r="R159" s="405"/>
      <c r="S159" s="84"/>
      <c r="T159" s="84"/>
      <c r="U159" s="84"/>
      <c r="V159" s="84"/>
      <c r="W159" s="84"/>
      <c r="X159" s="84"/>
      <c r="Y159" s="84"/>
      <c r="Z159" s="84"/>
      <c r="AA159" s="84"/>
      <c r="AB159" s="223"/>
      <c r="AC159" s="275"/>
      <c r="AD159" s="223"/>
      <c r="AE159" s="223"/>
      <c r="AF159" s="275"/>
      <c r="AG159" s="275"/>
      <c r="AH159" s="275"/>
      <c r="AI159" s="275"/>
    </row>
    <row r="160" spans="1:35" ht="15">
      <c r="A160" s="276"/>
      <c r="B160" s="405"/>
      <c r="C160" s="405"/>
      <c r="D160" s="405"/>
      <c r="E160" s="84"/>
      <c r="F160" s="331"/>
      <c r="G160" s="331"/>
      <c r="H160" s="331"/>
      <c r="I160" s="332"/>
      <c r="J160" s="333"/>
      <c r="K160" s="333"/>
      <c r="L160" s="333"/>
      <c r="M160" s="405"/>
      <c r="N160" s="405"/>
      <c r="O160" s="405"/>
      <c r="P160" s="405"/>
      <c r="Q160" s="405"/>
      <c r="R160" s="405"/>
      <c r="S160" s="84"/>
      <c r="T160" s="84"/>
      <c r="U160" s="84"/>
      <c r="V160" s="84"/>
      <c r="W160" s="84"/>
      <c r="X160" s="84"/>
      <c r="Y160" s="84"/>
      <c r="Z160" s="84"/>
      <c r="AA160" s="84"/>
      <c r="AB160" s="223"/>
      <c r="AC160" s="275"/>
      <c r="AD160" s="223"/>
      <c r="AE160" s="223"/>
      <c r="AF160" s="275"/>
      <c r="AG160" s="275"/>
      <c r="AH160" s="275"/>
      <c r="AI160" s="275"/>
    </row>
    <row r="161" spans="1:35" ht="15">
      <c r="A161" s="276"/>
      <c r="B161" s="405"/>
      <c r="C161" s="405"/>
      <c r="D161" s="405"/>
      <c r="E161" s="84"/>
      <c r="F161" s="331"/>
      <c r="G161" s="331"/>
      <c r="H161" s="331"/>
      <c r="I161" s="332"/>
      <c r="J161" s="333"/>
      <c r="K161" s="333"/>
      <c r="L161" s="333"/>
      <c r="M161" s="405"/>
      <c r="N161" s="405"/>
      <c r="O161" s="405"/>
      <c r="P161" s="405"/>
      <c r="Q161" s="405"/>
      <c r="R161" s="405"/>
      <c r="S161" s="84"/>
      <c r="T161" s="84"/>
      <c r="U161" s="84"/>
      <c r="V161" s="84"/>
      <c r="W161" s="84"/>
      <c r="X161" s="84"/>
      <c r="Y161" s="84"/>
      <c r="Z161" s="84"/>
      <c r="AA161" s="84"/>
      <c r="AB161" s="223"/>
      <c r="AC161" s="275"/>
      <c r="AD161" s="223"/>
      <c r="AE161" s="223"/>
      <c r="AF161" s="275"/>
      <c r="AG161" s="275"/>
      <c r="AH161" s="275"/>
      <c r="AI161" s="275"/>
    </row>
    <row r="162" spans="1:35" ht="15">
      <c r="A162" s="276"/>
      <c r="B162" s="405"/>
      <c r="C162" s="405"/>
      <c r="D162" s="405"/>
      <c r="E162" s="84"/>
      <c r="F162" s="331"/>
      <c r="G162" s="331"/>
      <c r="H162" s="331"/>
      <c r="I162" s="332"/>
      <c r="J162" s="333"/>
      <c r="K162" s="333"/>
      <c r="L162" s="333"/>
      <c r="M162" s="405"/>
      <c r="N162" s="405"/>
      <c r="O162" s="405"/>
      <c r="P162" s="405"/>
      <c r="Q162" s="405"/>
      <c r="R162" s="405"/>
      <c r="S162" s="84"/>
      <c r="T162" s="84"/>
      <c r="U162" s="84"/>
      <c r="V162" s="84"/>
      <c r="W162" s="84"/>
      <c r="X162" s="84"/>
      <c r="Y162" s="84"/>
      <c r="Z162" s="84"/>
      <c r="AA162" s="84"/>
      <c r="AB162" s="223"/>
      <c r="AC162" s="275"/>
      <c r="AD162" s="223"/>
      <c r="AE162" s="223"/>
      <c r="AF162" s="275"/>
      <c r="AG162" s="275"/>
      <c r="AH162" s="275"/>
      <c r="AI162" s="275"/>
    </row>
    <row r="163" spans="1:35" ht="15">
      <c r="A163" s="276"/>
      <c r="B163" s="405"/>
      <c r="C163" s="405"/>
      <c r="D163" s="405"/>
      <c r="E163" s="84"/>
      <c r="F163" s="331"/>
      <c r="G163" s="331"/>
      <c r="H163" s="331"/>
      <c r="I163" s="332"/>
      <c r="J163" s="333"/>
      <c r="K163" s="333"/>
      <c r="L163" s="333"/>
      <c r="M163" s="405"/>
      <c r="N163" s="405"/>
      <c r="O163" s="405"/>
      <c r="P163" s="405"/>
      <c r="Q163" s="405"/>
      <c r="R163" s="405"/>
      <c r="S163" s="84"/>
      <c r="T163" s="84"/>
      <c r="U163" s="84"/>
      <c r="V163" s="84"/>
      <c r="W163" s="84"/>
      <c r="X163" s="84"/>
      <c r="Y163" s="84"/>
      <c r="Z163" s="84"/>
      <c r="AA163" s="84"/>
      <c r="AB163" s="223"/>
      <c r="AC163" s="275"/>
      <c r="AD163" s="223"/>
      <c r="AE163" s="223"/>
      <c r="AF163" s="275"/>
      <c r="AG163" s="275"/>
      <c r="AH163" s="275"/>
      <c r="AI163" s="275"/>
    </row>
    <row r="164" spans="1:35" ht="15">
      <c r="A164" s="276"/>
      <c r="B164" s="405"/>
      <c r="C164" s="405"/>
      <c r="D164" s="405"/>
      <c r="E164" s="84"/>
      <c r="F164" s="331"/>
      <c r="G164" s="331"/>
      <c r="H164" s="331"/>
      <c r="I164" s="332"/>
      <c r="J164" s="333"/>
      <c r="K164" s="333"/>
      <c r="L164" s="333"/>
      <c r="M164" s="405"/>
      <c r="N164" s="405"/>
      <c r="O164" s="405"/>
      <c r="P164" s="405"/>
      <c r="Q164" s="405"/>
      <c r="R164" s="405"/>
      <c r="S164" s="84"/>
      <c r="T164" s="84"/>
      <c r="U164" s="84"/>
      <c r="V164" s="84"/>
      <c r="W164" s="84"/>
      <c r="X164" s="84"/>
      <c r="Y164" s="84"/>
      <c r="Z164" s="84"/>
      <c r="AA164" s="84"/>
      <c r="AB164" s="223"/>
      <c r="AC164" s="275"/>
      <c r="AD164" s="223"/>
      <c r="AE164" s="223"/>
      <c r="AF164" s="275"/>
      <c r="AG164" s="275"/>
      <c r="AH164" s="275"/>
      <c r="AI164" s="275"/>
    </row>
    <row r="165" spans="1:35" ht="15">
      <c r="A165" s="276"/>
      <c r="B165" s="405"/>
      <c r="C165" s="405"/>
      <c r="D165" s="405"/>
      <c r="E165" s="84"/>
      <c r="F165" s="331"/>
      <c r="G165" s="331"/>
      <c r="H165" s="331"/>
      <c r="I165" s="332"/>
      <c r="J165" s="333"/>
      <c r="K165" s="333"/>
      <c r="L165" s="333"/>
      <c r="M165" s="405"/>
      <c r="N165" s="405"/>
      <c r="O165" s="405"/>
      <c r="P165" s="405"/>
      <c r="Q165" s="405"/>
      <c r="R165" s="405"/>
      <c r="S165" s="84"/>
      <c r="T165" s="84"/>
      <c r="U165" s="84"/>
      <c r="V165" s="84"/>
      <c r="W165" s="84"/>
      <c r="X165" s="84"/>
      <c r="Y165" s="84"/>
      <c r="Z165" s="84"/>
      <c r="AA165" s="84"/>
      <c r="AB165" s="223"/>
      <c r="AC165" s="275"/>
      <c r="AD165" s="223"/>
      <c r="AE165" s="223"/>
      <c r="AF165" s="275"/>
      <c r="AG165" s="275"/>
      <c r="AH165" s="275"/>
      <c r="AI165" s="275"/>
    </row>
    <row r="166" spans="1:35" ht="15">
      <c r="A166" s="276"/>
      <c r="B166" s="405"/>
      <c r="C166" s="405"/>
      <c r="D166" s="405"/>
      <c r="E166" s="84"/>
      <c r="F166" s="331"/>
      <c r="G166" s="331"/>
      <c r="H166" s="331"/>
      <c r="I166" s="332"/>
      <c r="J166" s="333"/>
      <c r="K166" s="333"/>
      <c r="L166" s="331"/>
      <c r="M166" s="405"/>
      <c r="N166" s="405"/>
      <c r="O166" s="405"/>
      <c r="P166" s="405"/>
      <c r="Q166" s="405"/>
      <c r="R166" s="405"/>
      <c r="S166" s="84"/>
      <c r="T166" s="84"/>
      <c r="U166" s="84"/>
      <c r="V166" s="84"/>
      <c r="W166" s="84"/>
      <c r="X166" s="84"/>
      <c r="Y166" s="84"/>
      <c r="Z166" s="84"/>
      <c r="AA166" s="84"/>
      <c r="AB166" s="223"/>
      <c r="AC166" s="275"/>
      <c r="AD166" s="223"/>
      <c r="AE166" s="223"/>
      <c r="AF166" s="275"/>
      <c r="AG166" s="275"/>
      <c r="AH166" s="275"/>
      <c r="AI166" s="275"/>
    </row>
    <row r="167" spans="1:35" ht="15">
      <c r="A167" s="276"/>
      <c r="B167" s="405"/>
      <c r="C167" s="405"/>
      <c r="D167" s="405"/>
      <c r="E167" s="84"/>
      <c r="F167" s="331"/>
      <c r="G167" s="331"/>
      <c r="H167" s="331"/>
      <c r="I167" s="332"/>
      <c r="J167" s="333"/>
      <c r="K167" s="333"/>
      <c r="L167" s="331"/>
      <c r="M167" s="405"/>
      <c r="N167" s="405"/>
      <c r="O167" s="405"/>
      <c r="P167" s="405"/>
      <c r="Q167" s="405"/>
      <c r="R167" s="405"/>
      <c r="S167" s="84"/>
      <c r="T167" s="84"/>
      <c r="U167" s="84"/>
      <c r="V167" s="84"/>
      <c r="W167" s="84"/>
      <c r="X167" s="84"/>
      <c r="Y167" s="84"/>
      <c r="Z167" s="84"/>
      <c r="AA167" s="84"/>
      <c r="AB167" s="223"/>
      <c r="AC167" s="275"/>
      <c r="AD167" s="223"/>
      <c r="AE167" s="223"/>
      <c r="AF167" s="275"/>
      <c r="AG167" s="275"/>
      <c r="AH167" s="275"/>
      <c r="AI167" s="275"/>
    </row>
    <row r="168" spans="1:35" ht="15">
      <c r="A168" s="276"/>
      <c r="B168" s="405"/>
      <c r="C168" s="405"/>
      <c r="D168" s="405"/>
      <c r="E168" s="84"/>
      <c r="F168" s="331"/>
      <c r="G168" s="331"/>
      <c r="H168" s="331"/>
      <c r="I168" s="332"/>
      <c r="J168" s="333"/>
      <c r="K168" s="333"/>
      <c r="L168" s="331"/>
      <c r="M168" s="405"/>
      <c r="N168" s="405"/>
      <c r="O168" s="405"/>
      <c r="P168" s="405"/>
      <c r="Q168" s="405"/>
      <c r="R168" s="405"/>
      <c r="S168" s="84"/>
      <c r="T168" s="84"/>
      <c r="U168" s="84"/>
      <c r="V168" s="84"/>
      <c r="W168" s="84"/>
      <c r="X168" s="84"/>
      <c r="Y168" s="84"/>
      <c r="Z168" s="84"/>
      <c r="AA168" s="84"/>
      <c r="AB168" s="223"/>
      <c r="AC168" s="275"/>
      <c r="AD168" s="223"/>
      <c r="AE168" s="223"/>
      <c r="AF168" s="275"/>
      <c r="AG168" s="275"/>
      <c r="AH168" s="275"/>
      <c r="AI168" s="275"/>
    </row>
    <row r="169" spans="1:35" ht="15">
      <c r="A169" s="276"/>
      <c r="B169" s="405"/>
      <c r="C169" s="405"/>
      <c r="D169" s="405"/>
      <c r="E169" s="84"/>
      <c r="F169" s="331"/>
      <c r="G169" s="331"/>
      <c r="H169" s="331"/>
      <c r="I169" s="332"/>
      <c r="J169" s="333"/>
      <c r="K169" s="333"/>
      <c r="L169" s="331"/>
      <c r="M169" s="405"/>
      <c r="N169" s="405"/>
      <c r="O169" s="405"/>
      <c r="P169" s="405"/>
      <c r="Q169" s="405"/>
      <c r="R169" s="405"/>
      <c r="S169" s="84"/>
      <c r="T169" s="84"/>
      <c r="U169" s="84"/>
      <c r="V169" s="84"/>
      <c r="W169" s="84"/>
      <c r="X169" s="84"/>
      <c r="Y169" s="84"/>
      <c r="Z169" s="84"/>
      <c r="AA169" s="84"/>
      <c r="AB169" s="223"/>
      <c r="AC169" s="275"/>
      <c r="AD169" s="223"/>
      <c r="AE169" s="223"/>
      <c r="AF169" s="275"/>
      <c r="AG169" s="275"/>
      <c r="AH169" s="275"/>
      <c r="AI169" s="275"/>
    </row>
    <row r="170" spans="1:35" ht="15">
      <c r="A170" s="276"/>
      <c r="B170" s="405"/>
      <c r="C170" s="405"/>
      <c r="D170" s="405"/>
      <c r="E170" s="84"/>
      <c r="F170" s="331"/>
      <c r="G170" s="331"/>
      <c r="H170" s="331"/>
      <c r="I170" s="332"/>
      <c r="J170" s="333"/>
      <c r="K170" s="333"/>
      <c r="L170" s="331"/>
      <c r="M170" s="405"/>
      <c r="N170" s="405"/>
      <c r="O170" s="405"/>
      <c r="P170" s="405"/>
      <c r="Q170" s="405"/>
      <c r="R170" s="405"/>
      <c r="S170" s="84"/>
      <c r="T170" s="84"/>
      <c r="U170" s="84"/>
      <c r="V170" s="84"/>
      <c r="W170" s="84"/>
      <c r="X170" s="84"/>
      <c r="Y170" s="84"/>
      <c r="Z170" s="84"/>
      <c r="AA170" s="84"/>
      <c r="AB170" s="223"/>
      <c r="AC170" s="275"/>
      <c r="AD170" s="223"/>
      <c r="AE170" s="223"/>
      <c r="AF170" s="275"/>
      <c r="AG170" s="275"/>
      <c r="AH170" s="275"/>
      <c r="AI170" s="275"/>
    </row>
    <row r="171" spans="1:35" ht="15">
      <c r="A171" s="276"/>
      <c r="B171" s="405"/>
      <c r="C171" s="405"/>
      <c r="D171" s="405"/>
      <c r="E171" s="84"/>
      <c r="F171" s="331"/>
      <c r="G171" s="331"/>
      <c r="H171" s="331"/>
      <c r="I171" s="332"/>
      <c r="J171" s="333"/>
      <c r="K171" s="333"/>
      <c r="L171" s="331"/>
      <c r="M171" s="405"/>
      <c r="N171" s="405"/>
      <c r="O171" s="405"/>
      <c r="P171" s="405"/>
      <c r="Q171" s="405"/>
      <c r="R171" s="405"/>
      <c r="S171" s="84"/>
      <c r="T171" s="84"/>
      <c r="U171" s="84"/>
      <c r="V171" s="84"/>
      <c r="W171" s="84"/>
      <c r="X171" s="84"/>
      <c r="Y171" s="84"/>
      <c r="Z171" s="84"/>
      <c r="AA171" s="84"/>
      <c r="AB171" s="223"/>
      <c r="AC171" s="275"/>
      <c r="AD171" s="223"/>
      <c r="AE171" s="223"/>
      <c r="AF171" s="275"/>
      <c r="AG171" s="275"/>
      <c r="AH171" s="275"/>
      <c r="AI171" s="275"/>
    </row>
    <row r="172" spans="1:35" ht="15">
      <c r="A172" s="276"/>
      <c r="B172" s="405"/>
      <c r="C172" s="405"/>
      <c r="D172" s="405"/>
      <c r="E172" s="84"/>
      <c r="F172" s="331"/>
      <c r="G172" s="331"/>
      <c r="H172" s="331"/>
      <c r="I172" s="332"/>
      <c r="J172" s="333"/>
      <c r="K172" s="333"/>
      <c r="L172" s="331"/>
      <c r="M172" s="405"/>
      <c r="N172" s="405"/>
      <c r="O172" s="405"/>
      <c r="P172" s="405"/>
      <c r="Q172" s="405"/>
      <c r="R172" s="405"/>
      <c r="S172" s="84"/>
      <c r="T172" s="84"/>
      <c r="U172" s="84"/>
      <c r="V172" s="84"/>
      <c r="W172" s="84"/>
      <c r="X172" s="84"/>
      <c r="Y172" s="84"/>
      <c r="Z172" s="84"/>
      <c r="AA172" s="84"/>
      <c r="AB172" s="223"/>
      <c r="AC172" s="275"/>
      <c r="AD172" s="223"/>
      <c r="AE172" s="223"/>
      <c r="AF172" s="275"/>
      <c r="AG172" s="275"/>
      <c r="AH172" s="275"/>
      <c r="AI172" s="275"/>
    </row>
    <row r="173" spans="1:35" ht="15">
      <c r="A173" s="276"/>
      <c r="B173" s="405"/>
      <c r="C173" s="405"/>
      <c r="D173" s="405"/>
      <c r="E173" s="84"/>
      <c r="F173" s="331"/>
      <c r="G173" s="331"/>
      <c r="H173" s="331"/>
      <c r="I173" s="332"/>
      <c r="J173" s="333"/>
      <c r="K173" s="333"/>
      <c r="L173" s="331"/>
      <c r="M173" s="405"/>
      <c r="N173" s="405"/>
      <c r="O173" s="405"/>
      <c r="P173" s="405"/>
      <c r="Q173" s="405"/>
      <c r="R173" s="405"/>
      <c r="S173" s="84"/>
      <c r="T173" s="84"/>
      <c r="U173" s="84"/>
      <c r="V173" s="84"/>
      <c r="W173" s="84"/>
      <c r="X173" s="84"/>
      <c r="Y173" s="84"/>
      <c r="Z173" s="84"/>
      <c r="AA173" s="84"/>
      <c r="AB173" s="223"/>
      <c r="AC173" s="275"/>
      <c r="AD173" s="223"/>
      <c r="AE173" s="223"/>
      <c r="AF173" s="275"/>
      <c r="AG173" s="275"/>
      <c r="AH173" s="275"/>
      <c r="AI173" s="275"/>
    </row>
    <row r="174" spans="1:35" ht="15">
      <c r="A174" s="276"/>
      <c r="B174" s="405"/>
      <c r="C174" s="405"/>
      <c r="D174" s="405"/>
      <c r="E174" s="84"/>
      <c r="F174" s="331"/>
      <c r="G174" s="331"/>
      <c r="H174" s="331"/>
      <c r="I174" s="332"/>
      <c r="J174" s="333"/>
      <c r="K174" s="333"/>
      <c r="L174" s="331"/>
      <c r="M174" s="405"/>
      <c r="N174" s="405"/>
      <c r="O174" s="405"/>
      <c r="P174" s="405"/>
      <c r="Q174" s="405"/>
      <c r="R174" s="405"/>
      <c r="S174" s="84"/>
      <c r="T174" s="84"/>
      <c r="U174" s="84"/>
      <c r="V174" s="84"/>
      <c r="W174" s="84"/>
      <c r="X174" s="84"/>
      <c r="Y174" s="84"/>
      <c r="Z174" s="84"/>
      <c r="AA174" s="84"/>
      <c r="AB174" s="223"/>
      <c r="AC174" s="275"/>
      <c r="AD174" s="223"/>
      <c r="AE174" s="223"/>
      <c r="AF174" s="275"/>
      <c r="AG174" s="275"/>
      <c r="AH174" s="275"/>
      <c r="AI174" s="275"/>
    </row>
    <row r="175" spans="1:35" ht="15">
      <c r="A175" s="276"/>
      <c r="B175" s="405"/>
      <c r="C175" s="405"/>
      <c r="D175" s="405"/>
      <c r="E175" s="84"/>
      <c r="F175" s="331"/>
      <c r="G175" s="331"/>
      <c r="H175" s="331"/>
      <c r="I175" s="332"/>
      <c r="J175" s="333"/>
      <c r="K175" s="333"/>
      <c r="L175" s="331"/>
      <c r="M175" s="405"/>
      <c r="N175" s="405"/>
      <c r="O175" s="405"/>
      <c r="P175" s="405"/>
      <c r="Q175" s="405"/>
      <c r="R175" s="405"/>
      <c r="S175" s="84"/>
      <c r="T175" s="84"/>
      <c r="U175" s="84"/>
      <c r="V175" s="84"/>
      <c r="W175" s="84"/>
      <c r="X175" s="84"/>
      <c r="Y175" s="84"/>
      <c r="Z175" s="84"/>
      <c r="AA175" s="84"/>
      <c r="AB175" s="223"/>
      <c r="AC175" s="275"/>
      <c r="AD175" s="223"/>
      <c r="AE175" s="223"/>
      <c r="AF175" s="275"/>
      <c r="AG175" s="275"/>
      <c r="AH175" s="275"/>
      <c r="AI175" s="275"/>
    </row>
    <row r="176" spans="1:35" ht="15">
      <c r="A176" s="276"/>
      <c r="B176" s="405"/>
      <c r="C176" s="405"/>
      <c r="D176" s="405"/>
      <c r="E176" s="84"/>
      <c r="F176" s="331"/>
      <c r="G176" s="331"/>
      <c r="H176" s="331"/>
      <c r="I176" s="332"/>
      <c r="J176" s="333"/>
      <c r="K176" s="333"/>
      <c r="L176" s="331"/>
      <c r="M176" s="405"/>
      <c r="N176" s="405"/>
      <c r="O176" s="405"/>
      <c r="P176" s="405"/>
      <c r="Q176" s="405"/>
      <c r="R176" s="405"/>
      <c r="S176" s="84"/>
      <c r="T176" s="84"/>
      <c r="U176" s="84"/>
      <c r="V176" s="84"/>
      <c r="W176" s="84"/>
      <c r="X176" s="84"/>
      <c r="Y176" s="84"/>
      <c r="Z176" s="84"/>
      <c r="AA176" s="84"/>
      <c r="AB176" s="223"/>
      <c r="AC176" s="275"/>
      <c r="AD176" s="223"/>
      <c r="AE176" s="223"/>
      <c r="AF176" s="275"/>
      <c r="AG176" s="275"/>
      <c r="AH176" s="275"/>
      <c r="AI176" s="275"/>
    </row>
    <row r="177" spans="1:35" ht="15">
      <c r="A177" s="276"/>
      <c r="B177" s="405"/>
      <c r="C177" s="405"/>
      <c r="D177" s="405"/>
      <c r="E177" s="84"/>
      <c r="F177" s="331"/>
      <c r="G177" s="331"/>
      <c r="H177" s="331"/>
      <c r="I177" s="332"/>
      <c r="J177" s="333"/>
      <c r="K177" s="333"/>
      <c r="L177" s="331"/>
      <c r="M177" s="405"/>
      <c r="N177" s="405"/>
      <c r="O177" s="405"/>
      <c r="P177" s="405"/>
      <c r="Q177" s="405"/>
      <c r="R177" s="405"/>
      <c r="S177" s="84"/>
      <c r="T177" s="84"/>
      <c r="U177" s="84"/>
      <c r="V177" s="84"/>
      <c r="W177" s="84"/>
      <c r="X177" s="84"/>
      <c r="Y177" s="84"/>
      <c r="Z177" s="84"/>
      <c r="AA177" s="84"/>
      <c r="AB177" s="223"/>
      <c r="AC177" s="275"/>
      <c r="AD177" s="223"/>
      <c r="AE177" s="223"/>
      <c r="AF177" s="275"/>
      <c r="AG177" s="275"/>
      <c r="AH177" s="275"/>
      <c r="AI177" s="275"/>
    </row>
    <row r="178" spans="1:35" ht="15">
      <c r="A178" s="276"/>
      <c r="B178" s="405"/>
      <c r="C178" s="405"/>
      <c r="D178" s="405"/>
      <c r="E178" s="84"/>
      <c r="F178" s="331"/>
      <c r="G178" s="331"/>
      <c r="H178" s="331"/>
      <c r="I178" s="332"/>
      <c r="J178" s="333"/>
      <c r="K178" s="333"/>
      <c r="L178" s="331"/>
      <c r="M178" s="405"/>
      <c r="N178" s="405"/>
      <c r="O178" s="405"/>
      <c r="P178" s="405"/>
      <c r="Q178" s="405"/>
      <c r="R178" s="405"/>
      <c r="S178" s="84"/>
      <c r="T178" s="84"/>
      <c r="U178" s="84"/>
      <c r="V178" s="84"/>
      <c r="W178" s="84"/>
      <c r="X178" s="84"/>
      <c r="Y178" s="84"/>
      <c r="Z178" s="84"/>
      <c r="AA178" s="84"/>
      <c r="AB178" s="223"/>
      <c r="AC178" s="275"/>
      <c r="AD178" s="223"/>
      <c r="AE178" s="223"/>
      <c r="AF178" s="275"/>
      <c r="AG178" s="275"/>
      <c r="AH178" s="275"/>
      <c r="AI178" s="275"/>
    </row>
    <row r="179" spans="1:35" ht="15">
      <c r="A179" s="276"/>
      <c r="B179" s="405"/>
      <c r="C179" s="405"/>
      <c r="D179" s="405"/>
      <c r="E179" s="84"/>
      <c r="F179" s="331"/>
      <c r="G179" s="331"/>
      <c r="H179" s="331"/>
      <c r="I179" s="332"/>
      <c r="J179" s="333"/>
      <c r="K179" s="333"/>
      <c r="L179" s="331"/>
      <c r="M179" s="405"/>
      <c r="N179" s="405"/>
      <c r="O179" s="405"/>
      <c r="P179" s="405"/>
      <c r="Q179" s="405"/>
      <c r="R179" s="405"/>
      <c r="S179" s="84"/>
      <c r="T179" s="84"/>
      <c r="U179" s="84"/>
      <c r="V179" s="84"/>
      <c r="W179" s="84"/>
      <c r="X179" s="84"/>
      <c r="Y179" s="84"/>
      <c r="Z179" s="84"/>
      <c r="AA179" s="84"/>
      <c r="AB179" s="223"/>
      <c r="AC179" s="275"/>
      <c r="AD179" s="223"/>
      <c r="AE179" s="223"/>
      <c r="AF179" s="275"/>
      <c r="AG179" s="275"/>
      <c r="AH179" s="275"/>
      <c r="AI179" s="275"/>
    </row>
    <row r="180" spans="1:35" ht="15">
      <c r="A180" s="276"/>
      <c r="B180" s="405"/>
      <c r="C180" s="405"/>
      <c r="D180" s="405"/>
      <c r="E180" s="84"/>
      <c r="F180" s="331"/>
      <c r="G180" s="331"/>
      <c r="H180" s="331"/>
      <c r="I180" s="332"/>
      <c r="J180" s="333"/>
      <c r="K180" s="333"/>
      <c r="L180" s="331"/>
      <c r="M180" s="405"/>
      <c r="N180" s="405"/>
      <c r="O180" s="405"/>
      <c r="P180" s="405"/>
      <c r="Q180" s="405"/>
      <c r="R180" s="405"/>
      <c r="S180" s="84"/>
      <c r="T180" s="84"/>
      <c r="U180" s="84"/>
      <c r="V180" s="84"/>
      <c r="W180" s="84"/>
      <c r="X180" s="84"/>
      <c r="Y180" s="84"/>
      <c r="Z180" s="84"/>
      <c r="AA180" s="84"/>
      <c r="AB180" s="223"/>
      <c r="AC180" s="275"/>
      <c r="AD180" s="223"/>
      <c r="AE180" s="223"/>
      <c r="AF180" s="275"/>
      <c r="AG180" s="275"/>
      <c r="AH180" s="275"/>
      <c r="AI180" s="275"/>
    </row>
    <row r="181" spans="1:35" ht="15">
      <c r="A181" s="276"/>
      <c r="B181" s="405"/>
      <c r="C181" s="405"/>
      <c r="D181" s="405"/>
      <c r="E181" s="84"/>
      <c r="F181" s="331"/>
      <c r="G181" s="331"/>
      <c r="H181" s="331"/>
      <c r="I181" s="332"/>
      <c r="J181" s="333"/>
      <c r="K181" s="333"/>
      <c r="L181" s="331"/>
      <c r="M181" s="405"/>
      <c r="N181" s="405"/>
      <c r="O181" s="405"/>
      <c r="P181" s="405"/>
      <c r="Q181" s="405"/>
      <c r="R181" s="405"/>
      <c r="S181" s="84"/>
      <c r="T181" s="84"/>
      <c r="U181" s="84"/>
      <c r="V181" s="84"/>
      <c r="W181" s="84"/>
      <c r="X181" s="84"/>
      <c r="Y181" s="84"/>
      <c r="Z181" s="84"/>
      <c r="AA181" s="84"/>
      <c r="AB181" s="223"/>
      <c r="AC181" s="275"/>
      <c r="AD181" s="223"/>
      <c r="AE181" s="223"/>
      <c r="AF181" s="275"/>
      <c r="AG181" s="275"/>
      <c r="AH181" s="275"/>
      <c r="AI181" s="275"/>
    </row>
    <row r="182" spans="1:35" ht="15">
      <c r="A182" s="276"/>
      <c r="B182" s="405"/>
      <c r="C182" s="405"/>
      <c r="D182" s="405"/>
      <c r="E182" s="84"/>
      <c r="F182" s="331"/>
      <c r="G182" s="331"/>
      <c r="H182" s="331"/>
      <c r="I182" s="332"/>
      <c r="J182" s="333"/>
      <c r="K182" s="333"/>
      <c r="L182" s="331"/>
      <c r="M182" s="405"/>
      <c r="N182" s="405"/>
      <c r="O182" s="405"/>
      <c r="P182" s="405"/>
      <c r="Q182" s="405"/>
      <c r="R182" s="405"/>
      <c r="S182" s="84"/>
      <c r="T182" s="84"/>
      <c r="U182" s="84"/>
      <c r="V182" s="84"/>
      <c r="W182" s="84"/>
      <c r="X182" s="84"/>
      <c r="Y182" s="84"/>
      <c r="Z182" s="84"/>
      <c r="AA182" s="84"/>
      <c r="AB182" s="223"/>
      <c r="AC182" s="275"/>
      <c r="AD182" s="223"/>
      <c r="AE182" s="223"/>
      <c r="AF182" s="275"/>
      <c r="AG182" s="275"/>
      <c r="AH182" s="275"/>
      <c r="AI182" s="275"/>
    </row>
    <row r="183" spans="1:35" ht="15">
      <c r="A183" s="276"/>
      <c r="B183" s="405"/>
      <c r="C183" s="405"/>
      <c r="D183" s="405"/>
      <c r="E183" s="84"/>
      <c r="F183" s="331"/>
      <c r="G183" s="331"/>
      <c r="H183" s="331"/>
      <c r="I183" s="332"/>
      <c r="J183" s="333"/>
      <c r="K183" s="333"/>
      <c r="L183" s="331"/>
      <c r="M183" s="405"/>
      <c r="N183" s="405"/>
      <c r="O183" s="405"/>
      <c r="P183" s="405"/>
      <c r="Q183" s="405"/>
      <c r="R183" s="405"/>
      <c r="S183" s="84"/>
      <c r="T183" s="84"/>
      <c r="U183" s="84"/>
      <c r="V183" s="84"/>
      <c r="W183" s="84"/>
      <c r="X183" s="84"/>
      <c r="Y183" s="84"/>
      <c r="Z183" s="84"/>
      <c r="AA183" s="84"/>
      <c r="AB183" s="223"/>
      <c r="AC183" s="275"/>
      <c r="AD183" s="223"/>
      <c r="AE183" s="223"/>
      <c r="AF183" s="275"/>
      <c r="AG183" s="275"/>
      <c r="AH183" s="275"/>
      <c r="AI183" s="275"/>
    </row>
    <row r="184" spans="1:35" ht="15">
      <c r="A184" s="276"/>
      <c r="B184" s="405"/>
      <c r="C184" s="405"/>
      <c r="D184" s="405"/>
      <c r="E184" s="84"/>
      <c r="F184" s="331"/>
      <c r="G184" s="331"/>
      <c r="H184" s="331"/>
      <c r="I184" s="332"/>
      <c r="J184" s="333"/>
      <c r="K184" s="333"/>
      <c r="L184" s="331"/>
      <c r="M184" s="405"/>
      <c r="N184" s="405"/>
      <c r="O184" s="405"/>
      <c r="P184" s="405"/>
      <c r="Q184" s="405"/>
      <c r="R184" s="405"/>
      <c r="S184" s="84"/>
      <c r="T184" s="84"/>
      <c r="U184" s="84"/>
      <c r="V184" s="84"/>
      <c r="W184" s="84"/>
      <c r="X184" s="84"/>
      <c r="Y184" s="84"/>
      <c r="Z184" s="84"/>
      <c r="AA184" s="84"/>
      <c r="AB184" s="223"/>
      <c r="AC184" s="275"/>
      <c r="AD184" s="223"/>
      <c r="AE184" s="223"/>
      <c r="AF184" s="275"/>
      <c r="AG184" s="275"/>
      <c r="AH184" s="275"/>
      <c r="AI184" s="275"/>
    </row>
    <row r="185" spans="1:35" ht="15">
      <c r="A185" s="276"/>
      <c r="B185" s="405"/>
      <c r="C185" s="405"/>
      <c r="D185" s="405"/>
      <c r="E185" s="84"/>
      <c r="F185" s="331"/>
      <c r="G185" s="331"/>
      <c r="H185" s="331"/>
      <c r="I185" s="332"/>
      <c r="J185" s="333"/>
      <c r="K185" s="333"/>
      <c r="L185" s="331"/>
      <c r="M185" s="405"/>
      <c r="N185" s="405"/>
      <c r="O185" s="405"/>
      <c r="P185" s="405"/>
      <c r="Q185" s="405"/>
      <c r="R185" s="405"/>
      <c r="S185" s="84"/>
      <c r="T185" s="84"/>
      <c r="U185" s="84"/>
      <c r="V185" s="84"/>
      <c r="W185" s="84"/>
      <c r="X185" s="84"/>
      <c r="Y185" s="84"/>
      <c r="Z185" s="84"/>
      <c r="AA185" s="84"/>
      <c r="AB185" s="223"/>
      <c r="AC185" s="275"/>
      <c r="AD185" s="223"/>
      <c r="AE185" s="223"/>
      <c r="AF185" s="275"/>
      <c r="AG185" s="275"/>
      <c r="AH185" s="275"/>
      <c r="AI185" s="275"/>
    </row>
    <row r="186" spans="1:35" ht="15">
      <c r="A186" s="276"/>
      <c r="B186" s="405"/>
      <c r="C186" s="405"/>
      <c r="D186" s="405"/>
      <c r="E186" s="84"/>
      <c r="F186" s="331"/>
      <c r="G186" s="331"/>
      <c r="H186" s="331"/>
      <c r="I186" s="332"/>
      <c r="J186" s="333"/>
      <c r="K186" s="333"/>
      <c r="L186" s="331"/>
      <c r="M186" s="405"/>
      <c r="N186" s="405"/>
      <c r="O186" s="405"/>
      <c r="P186" s="405"/>
      <c r="Q186" s="405"/>
      <c r="R186" s="405"/>
      <c r="S186" s="84"/>
      <c r="T186" s="84"/>
      <c r="U186" s="84"/>
      <c r="V186" s="84"/>
      <c r="W186" s="84"/>
      <c r="X186" s="84"/>
      <c r="Y186" s="84"/>
      <c r="Z186" s="84"/>
      <c r="AA186" s="84"/>
      <c r="AB186" s="223"/>
      <c r="AC186" s="275"/>
      <c r="AD186" s="223"/>
      <c r="AE186" s="223"/>
      <c r="AF186" s="275"/>
      <c r="AG186" s="275"/>
      <c r="AH186" s="275"/>
      <c r="AI186" s="275"/>
    </row>
    <row r="187" spans="1:35" ht="15">
      <c r="A187" s="276"/>
      <c r="B187" s="405"/>
      <c r="C187" s="405"/>
      <c r="D187" s="405"/>
      <c r="E187" s="84"/>
      <c r="F187" s="331"/>
      <c r="G187" s="331"/>
      <c r="H187" s="331"/>
      <c r="I187" s="332"/>
      <c r="J187" s="333"/>
      <c r="K187" s="333"/>
      <c r="L187" s="331"/>
      <c r="M187" s="405"/>
      <c r="N187" s="405"/>
      <c r="O187" s="405"/>
      <c r="P187" s="405"/>
      <c r="Q187" s="405"/>
      <c r="R187" s="405"/>
      <c r="S187" s="84"/>
      <c r="T187" s="84"/>
      <c r="U187" s="84"/>
      <c r="V187" s="84"/>
      <c r="W187" s="84"/>
      <c r="X187" s="84"/>
      <c r="Y187" s="84"/>
      <c r="Z187" s="84"/>
      <c r="AA187" s="84"/>
      <c r="AB187" s="223"/>
      <c r="AC187" s="275"/>
      <c r="AD187" s="223"/>
      <c r="AE187" s="223"/>
      <c r="AF187" s="275"/>
      <c r="AG187" s="275"/>
      <c r="AH187" s="275"/>
      <c r="AI187" s="275"/>
    </row>
    <row r="188" spans="1:35" ht="15">
      <c r="A188" s="276"/>
      <c r="B188" s="405"/>
      <c r="C188" s="405"/>
      <c r="D188" s="405"/>
      <c r="E188" s="84"/>
      <c r="F188" s="331"/>
      <c r="G188" s="331"/>
      <c r="H188" s="331"/>
      <c r="I188" s="332"/>
      <c r="J188" s="333"/>
      <c r="K188" s="333"/>
      <c r="L188" s="331"/>
      <c r="M188" s="405"/>
      <c r="N188" s="405"/>
      <c r="O188" s="405"/>
      <c r="P188" s="405"/>
      <c r="Q188" s="405"/>
      <c r="R188" s="405"/>
      <c r="S188" s="84"/>
      <c r="T188" s="84"/>
      <c r="U188" s="84"/>
      <c r="V188" s="84"/>
      <c r="W188" s="84"/>
      <c r="X188" s="84"/>
      <c r="Y188" s="84"/>
      <c r="Z188" s="84"/>
      <c r="AA188" s="84"/>
      <c r="AB188" s="223"/>
      <c r="AC188" s="275"/>
      <c r="AD188" s="275"/>
      <c r="AE188" s="275"/>
      <c r="AF188" s="275"/>
      <c r="AG188" s="275"/>
      <c r="AH188" s="275"/>
      <c r="AI188" s="275"/>
    </row>
    <row r="189" spans="1:35" ht="15">
      <c r="A189" s="276"/>
      <c r="B189" s="405"/>
      <c r="C189" s="405"/>
      <c r="D189" s="405"/>
      <c r="E189" s="84"/>
      <c r="F189" s="331"/>
      <c r="G189" s="331"/>
      <c r="H189" s="331"/>
      <c r="I189" s="332"/>
      <c r="J189" s="333"/>
      <c r="K189" s="333"/>
      <c r="L189" s="331"/>
      <c r="M189" s="405"/>
      <c r="N189" s="405"/>
      <c r="O189" s="405"/>
      <c r="P189" s="405"/>
      <c r="Q189" s="405"/>
      <c r="R189" s="405"/>
      <c r="S189" s="84"/>
      <c r="T189" s="84"/>
      <c r="U189" s="84"/>
      <c r="V189" s="84"/>
      <c r="W189" s="84"/>
      <c r="X189" s="84"/>
      <c r="Y189" s="84"/>
      <c r="Z189" s="84"/>
      <c r="AA189" s="84"/>
      <c r="AB189" s="223"/>
      <c r="AC189" s="275"/>
      <c r="AD189" s="275"/>
      <c r="AE189" s="275"/>
      <c r="AF189" s="275"/>
      <c r="AG189" s="275"/>
      <c r="AH189" s="275"/>
      <c r="AI189" s="275"/>
    </row>
    <row r="190" spans="1:35" ht="15">
      <c r="A190" s="276"/>
      <c r="B190" s="405"/>
      <c r="C190" s="405"/>
      <c r="D190" s="405"/>
      <c r="E190" s="84"/>
      <c r="F190" s="331"/>
      <c r="G190" s="331"/>
      <c r="H190" s="331"/>
      <c r="I190" s="332"/>
      <c r="J190" s="333"/>
      <c r="K190" s="333"/>
      <c r="L190" s="331"/>
      <c r="M190" s="405"/>
      <c r="N190" s="405"/>
      <c r="O190" s="405"/>
      <c r="P190" s="405"/>
      <c r="Q190" s="405"/>
      <c r="R190" s="405"/>
      <c r="S190" s="84"/>
      <c r="T190" s="84"/>
      <c r="U190" s="84"/>
      <c r="V190" s="84"/>
      <c r="W190" s="84"/>
      <c r="X190" s="84"/>
      <c r="Y190" s="84"/>
      <c r="Z190" s="84"/>
      <c r="AA190" s="84"/>
      <c r="AB190" s="223"/>
      <c r="AC190" s="275"/>
      <c r="AD190" s="275"/>
      <c r="AE190" s="275"/>
      <c r="AF190" s="275"/>
      <c r="AG190" s="275"/>
      <c r="AH190" s="275"/>
      <c r="AI190" s="275"/>
    </row>
    <row r="191" spans="1:35" ht="15">
      <c r="A191" s="276"/>
      <c r="B191" s="405"/>
      <c r="C191" s="84"/>
      <c r="D191" s="84"/>
      <c r="E191" s="84"/>
      <c r="F191" s="331"/>
      <c r="G191" s="331"/>
      <c r="H191" s="331"/>
      <c r="I191" s="332"/>
      <c r="J191" s="333"/>
      <c r="K191" s="333"/>
      <c r="L191" s="331"/>
      <c r="M191" s="405"/>
      <c r="N191" s="405"/>
      <c r="O191" s="405"/>
      <c r="P191" s="405"/>
      <c r="Q191" s="405"/>
      <c r="R191" s="405"/>
      <c r="S191" s="84"/>
      <c r="T191" s="84"/>
      <c r="U191" s="84"/>
      <c r="V191" s="84"/>
      <c r="W191" s="84"/>
      <c r="X191" s="84"/>
      <c r="Y191" s="84"/>
      <c r="Z191" s="84"/>
      <c r="AA191" s="84"/>
      <c r="AB191" s="223"/>
      <c r="AC191" s="275"/>
      <c r="AD191" s="275"/>
      <c r="AE191" s="275"/>
      <c r="AF191" s="275"/>
      <c r="AG191" s="275"/>
      <c r="AH191" s="275"/>
      <c r="AI191" s="275"/>
    </row>
    <row r="192" spans="1:35" ht="15">
      <c r="A192" s="276"/>
      <c r="B192" s="405"/>
      <c r="C192" s="84"/>
      <c r="D192" s="84"/>
      <c r="E192" s="84"/>
      <c r="F192" s="331"/>
      <c r="G192" s="331"/>
      <c r="H192" s="331"/>
      <c r="I192" s="332"/>
      <c r="J192" s="333"/>
      <c r="K192" s="333"/>
      <c r="L192" s="331"/>
      <c r="M192" s="405"/>
      <c r="N192" s="405"/>
      <c r="O192" s="405"/>
      <c r="P192" s="405"/>
      <c r="Q192" s="405"/>
      <c r="R192" s="405"/>
      <c r="S192" s="84"/>
      <c r="T192" s="84"/>
      <c r="U192" s="84"/>
      <c r="V192" s="84"/>
      <c r="W192" s="84"/>
      <c r="X192" s="84"/>
      <c r="Y192" s="84"/>
      <c r="Z192" s="84"/>
      <c r="AA192" s="84"/>
      <c r="AB192" s="223"/>
      <c r="AC192" s="275"/>
      <c r="AD192" s="275"/>
      <c r="AE192" s="275"/>
      <c r="AF192" s="275"/>
      <c r="AG192" s="275"/>
      <c r="AH192" s="275"/>
      <c r="AI192" s="275"/>
    </row>
    <row r="193" spans="1:35" ht="15">
      <c r="A193" s="276"/>
      <c r="B193" s="405"/>
      <c r="C193" s="84"/>
      <c r="D193" s="84"/>
      <c r="E193" s="84"/>
      <c r="F193" s="331"/>
      <c r="G193" s="331"/>
      <c r="H193" s="331"/>
      <c r="I193" s="332"/>
      <c r="J193" s="333"/>
      <c r="K193" s="333"/>
      <c r="L193" s="331"/>
      <c r="M193" s="405"/>
      <c r="N193" s="405"/>
      <c r="O193" s="405"/>
      <c r="P193" s="405"/>
      <c r="Q193" s="405"/>
      <c r="R193" s="405"/>
      <c r="S193" s="84"/>
      <c r="T193" s="84"/>
      <c r="U193" s="84"/>
      <c r="V193" s="84"/>
      <c r="W193" s="84"/>
      <c r="X193" s="84"/>
      <c r="Y193" s="84"/>
      <c r="Z193" s="84"/>
      <c r="AA193" s="84"/>
      <c r="AB193" s="223"/>
      <c r="AC193" s="275"/>
      <c r="AD193" s="275"/>
      <c r="AE193" s="275"/>
      <c r="AF193" s="275"/>
      <c r="AG193" s="275"/>
      <c r="AH193" s="275"/>
      <c r="AI193" s="275"/>
    </row>
    <row r="194" spans="1:35" ht="15">
      <c r="A194" s="276"/>
      <c r="B194" s="405"/>
      <c r="C194" s="84"/>
      <c r="D194" s="84"/>
      <c r="E194" s="84"/>
      <c r="F194" s="331"/>
      <c r="G194" s="331"/>
      <c r="H194" s="331"/>
      <c r="I194" s="332"/>
      <c r="J194" s="333"/>
      <c r="K194" s="333"/>
      <c r="L194" s="331"/>
      <c r="M194" s="405"/>
      <c r="N194" s="405"/>
      <c r="O194" s="405"/>
      <c r="P194" s="405"/>
      <c r="Q194" s="405"/>
      <c r="R194" s="405"/>
      <c r="S194" s="84"/>
      <c r="T194" s="84"/>
      <c r="U194" s="84"/>
      <c r="V194" s="84"/>
      <c r="W194" s="84"/>
      <c r="X194" s="84"/>
      <c r="Y194" s="84"/>
      <c r="Z194" s="84"/>
      <c r="AA194" s="84"/>
      <c r="AB194" s="223"/>
      <c r="AC194" s="275"/>
      <c r="AD194" s="275"/>
      <c r="AE194" s="275"/>
      <c r="AF194" s="275"/>
      <c r="AG194" s="275"/>
      <c r="AH194" s="275"/>
      <c r="AI194" s="275"/>
    </row>
    <row r="195" spans="1:35" ht="15">
      <c r="A195" s="276"/>
      <c r="B195" s="405"/>
      <c r="C195" s="84"/>
      <c r="D195" s="84"/>
      <c r="E195" s="84"/>
      <c r="F195" s="331"/>
      <c r="G195" s="331"/>
      <c r="H195" s="331"/>
      <c r="I195" s="332"/>
      <c r="J195" s="333"/>
      <c r="K195" s="333"/>
      <c r="L195" s="331"/>
      <c r="M195" s="405"/>
      <c r="N195" s="405"/>
      <c r="O195" s="405"/>
      <c r="P195" s="405"/>
      <c r="Q195" s="405"/>
      <c r="R195" s="405"/>
      <c r="S195" s="84"/>
      <c r="T195" s="84"/>
      <c r="U195" s="84"/>
      <c r="V195" s="84"/>
      <c r="W195" s="84"/>
      <c r="X195" s="84"/>
      <c r="Y195" s="84"/>
      <c r="Z195" s="84"/>
      <c r="AA195" s="84"/>
      <c r="AB195" s="223"/>
      <c r="AC195" s="275"/>
      <c r="AD195" s="275"/>
      <c r="AE195" s="275"/>
      <c r="AF195" s="275"/>
      <c r="AG195" s="275"/>
      <c r="AH195" s="275"/>
      <c r="AI195" s="275"/>
    </row>
    <row r="196" spans="1:35" ht="15">
      <c r="A196" s="276"/>
      <c r="B196" s="405"/>
      <c r="C196" s="84"/>
      <c r="D196" s="84"/>
      <c r="E196" s="84"/>
      <c r="F196" s="331"/>
      <c r="G196" s="331"/>
      <c r="H196" s="331"/>
      <c r="I196" s="332"/>
      <c r="J196" s="333"/>
      <c r="K196" s="333"/>
      <c r="L196" s="331"/>
      <c r="M196" s="405"/>
      <c r="N196" s="405"/>
      <c r="O196" s="405"/>
      <c r="P196" s="405"/>
      <c r="Q196" s="405"/>
      <c r="R196" s="405"/>
      <c r="S196" s="84"/>
      <c r="T196" s="84"/>
      <c r="U196" s="84"/>
      <c r="V196" s="84"/>
      <c r="W196" s="84"/>
      <c r="X196" s="84"/>
      <c r="Y196" s="84"/>
      <c r="Z196" s="84"/>
      <c r="AA196" s="84"/>
      <c r="AB196" s="223"/>
      <c r="AC196" s="275"/>
      <c r="AD196" s="275"/>
      <c r="AE196" s="275"/>
      <c r="AF196" s="275"/>
      <c r="AG196" s="275"/>
      <c r="AH196" s="275"/>
      <c r="AI196" s="275"/>
    </row>
    <row r="197" spans="1:35" ht="15">
      <c r="A197" s="276"/>
      <c r="B197" s="405"/>
      <c r="C197" s="84"/>
      <c r="D197" s="84"/>
      <c r="E197" s="84"/>
      <c r="F197" s="331"/>
      <c r="G197" s="331"/>
      <c r="H197" s="331"/>
      <c r="I197" s="332"/>
      <c r="J197" s="333"/>
      <c r="K197" s="333"/>
      <c r="L197" s="331"/>
      <c r="M197" s="405"/>
      <c r="N197" s="405"/>
      <c r="O197" s="405"/>
      <c r="P197" s="405"/>
      <c r="Q197" s="405"/>
      <c r="R197" s="405"/>
      <c r="S197" s="84"/>
      <c r="T197" s="84"/>
      <c r="U197" s="84"/>
      <c r="V197" s="84"/>
      <c r="W197" s="84"/>
      <c r="X197" s="84"/>
      <c r="Y197" s="84"/>
      <c r="Z197" s="84"/>
      <c r="AA197" s="84"/>
      <c r="AB197" s="223"/>
      <c r="AC197" s="275"/>
      <c r="AD197" s="275"/>
      <c r="AE197" s="275"/>
      <c r="AF197" s="275"/>
      <c r="AG197" s="275"/>
      <c r="AH197" s="275"/>
      <c r="AI197" s="275"/>
    </row>
    <row r="198" spans="1:35" ht="15">
      <c r="A198" s="276"/>
      <c r="B198" s="405"/>
      <c r="C198" s="84"/>
      <c r="D198" s="84"/>
      <c r="E198" s="84"/>
      <c r="F198" s="331"/>
      <c r="G198" s="331"/>
      <c r="H198" s="331"/>
      <c r="I198" s="332"/>
      <c r="J198" s="333"/>
      <c r="K198" s="333"/>
      <c r="L198" s="331"/>
      <c r="M198" s="405"/>
      <c r="N198" s="405"/>
      <c r="O198" s="405"/>
      <c r="P198" s="405"/>
      <c r="Q198" s="405"/>
      <c r="R198" s="405"/>
      <c r="S198" s="84"/>
      <c r="T198" s="84"/>
      <c r="U198" s="84"/>
      <c r="V198" s="84"/>
      <c r="W198" s="84"/>
      <c r="X198" s="84"/>
      <c r="Y198" s="84"/>
      <c r="Z198" s="84"/>
      <c r="AA198" s="84"/>
      <c r="AB198" s="223"/>
      <c r="AC198" s="275"/>
      <c r="AD198" s="275"/>
      <c r="AE198" s="275"/>
      <c r="AF198" s="275"/>
      <c r="AG198" s="275"/>
      <c r="AH198" s="275"/>
      <c r="AI198" s="275"/>
    </row>
    <row r="199" spans="1:35" ht="15">
      <c r="A199" s="276"/>
      <c r="B199" s="405"/>
      <c r="C199" s="84"/>
      <c r="D199" s="84"/>
      <c r="E199" s="84"/>
      <c r="F199" s="331"/>
      <c r="G199" s="331"/>
      <c r="H199" s="331"/>
      <c r="I199" s="332"/>
      <c r="J199" s="333"/>
      <c r="K199" s="333"/>
      <c r="L199" s="331"/>
      <c r="M199" s="405"/>
      <c r="N199" s="405"/>
      <c r="O199" s="405"/>
      <c r="P199" s="405"/>
      <c r="Q199" s="405"/>
      <c r="R199" s="405"/>
      <c r="S199" s="84"/>
      <c r="T199" s="84"/>
      <c r="U199" s="84"/>
      <c r="V199" s="84"/>
      <c r="W199" s="84"/>
      <c r="X199" s="84"/>
      <c r="Y199" s="84"/>
      <c r="Z199" s="84"/>
      <c r="AA199" s="84"/>
      <c r="AB199" s="223"/>
      <c r="AC199" s="275"/>
      <c r="AD199" s="275"/>
      <c r="AE199" s="275"/>
      <c r="AF199" s="275"/>
      <c r="AG199" s="275"/>
      <c r="AH199" s="275"/>
      <c r="AI199" s="275"/>
    </row>
    <row r="200" spans="1:35" ht="15">
      <c r="A200" s="276"/>
      <c r="B200" s="405"/>
      <c r="C200" s="84"/>
      <c r="D200" s="84"/>
      <c r="E200" s="84"/>
      <c r="F200" s="331"/>
      <c r="G200" s="331"/>
      <c r="H200" s="331"/>
      <c r="I200" s="332"/>
      <c r="J200" s="333"/>
      <c r="K200" s="333"/>
      <c r="L200" s="331"/>
      <c r="M200" s="405"/>
      <c r="N200" s="405"/>
      <c r="O200" s="405"/>
      <c r="P200" s="405"/>
      <c r="Q200" s="405"/>
      <c r="R200" s="405"/>
      <c r="S200" s="84"/>
      <c r="T200" s="84"/>
      <c r="U200" s="84"/>
      <c r="V200" s="84"/>
      <c r="W200" s="84"/>
      <c r="X200" s="84"/>
      <c r="Y200" s="84"/>
      <c r="Z200" s="84"/>
      <c r="AA200" s="84"/>
      <c r="AB200" s="223"/>
      <c r="AC200" s="275"/>
      <c r="AD200" s="275"/>
      <c r="AE200" s="275"/>
      <c r="AF200" s="275"/>
      <c r="AG200" s="275"/>
      <c r="AH200" s="275"/>
      <c r="AI200" s="275"/>
    </row>
    <row r="201" spans="1:35" ht="15">
      <c r="A201" s="276"/>
      <c r="B201" s="223"/>
      <c r="C201" s="275"/>
      <c r="D201" s="275"/>
      <c r="E201" s="275"/>
      <c r="F201" s="331"/>
      <c r="G201" s="331"/>
      <c r="H201" s="331"/>
      <c r="I201" s="332"/>
      <c r="J201" s="333"/>
      <c r="K201" s="333"/>
      <c r="L201" s="331"/>
      <c r="M201" s="223"/>
      <c r="N201" s="223"/>
      <c r="O201" s="223"/>
      <c r="P201" s="223"/>
      <c r="Q201" s="223"/>
      <c r="R201" s="223"/>
      <c r="S201" s="275"/>
      <c r="T201" s="275"/>
      <c r="U201" s="275"/>
      <c r="V201" s="275"/>
      <c r="W201" s="275"/>
      <c r="X201" s="275"/>
      <c r="Y201" s="275"/>
      <c r="Z201" s="275"/>
      <c r="AA201" s="275"/>
      <c r="AB201" s="223"/>
      <c r="AC201" s="275"/>
      <c r="AD201" s="275"/>
      <c r="AE201" s="275"/>
      <c r="AF201" s="275"/>
      <c r="AG201" s="275"/>
      <c r="AH201" s="275"/>
      <c r="AI201" s="275"/>
    </row>
    <row r="202" spans="1:35" ht="15">
      <c r="A202" s="276"/>
      <c r="B202" s="223"/>
      <c r="C202" s="275"/>
      <c r="D202" s="275"/>
      <c r="E202" s="275"/>
      <c r="F202" s="331"/>
      <c r="G202" s="331"/>
      <c r="H202" s="331"/>
      <c r="I202" s="332"/>
      <c r="J202" s="333"/>
      <c r="K202" s="333"/>
      <c r="L202" s="331"/>
      <c r="M202" s="223"/>
      <c r="N202" s="223"/>
      <c r="O202" s="223"/>
      <c r="P202" s="223"/>
      <c r="Q202" s="223"/>
      <c r="R202" s="223"/>
      <c r="S202" s="275"/>
      <c r="T202" s="275"/>
      <c r="U202" s="275"/>
      <c r="V202" s="275"/>
      <c r="W202" s="275"/>
      <c r="X202" s="275"/>
      <c r="Y202" s="275"/>
      <c r="Z202" s="275"/>
      <c r="AA202" s="275"/>
      <c r="AB202" s="223"/>
      <c r="AC202" s="275"/>
      <c r="AD202" s="275"/>
      <c r="AE202" s="275"/>
      <c r="AF202" s="275"/>
      <c r="AG202" s="275"/>
      <c r="AH202" s="275"/>
      <c r="AI202" s="275"/>
    </row>
    <row r="203" spans="1:35" ht="15">
      <c r="A203" s="276"/>
      <c r="B203" s="223"/>
      <c r="C203" s="275"/>
      <c r="D203" s="275"/>
      <c r="E203" s="275"/>
      <c r="F203" s="331"/>
      <c r="G203" s="331"/>
      <c r="H203" s="331"/>
      <c r="I203" s="332"/>
      <c r="J203" s="333"/>
      <c r="K203" s="333"/>
      <c r="L203" s="331"/>
      <c r="M203" s="223"/>
      <c r="N203" s="223"/>
      <c r="O203" s="223"/>
      <c r="P203" s="223"/>
      <c r="Q203" s="223"/>
      <c r="R203" s="223"/>
      <c r="S203" s="275"/>
      <c r="T203" s="275"/>
      <c r="U203" s="275"/>
      <c r="V203" s="275"/>
      <c r="W203" s="275"/>
      <c r="X203" s="275"/>
      <c r="Y203" s="275"/>
      <c r="Z203" s="275"/>
      <c r="AA203" s="275"/>
      <c r="AB203" s="223"/>
      <c r="AC203" s="275"/>
      <c r="AD203" s="275"/>
      <c r="AE203" s="275"/>
      <c r="AF203" s="275"/>
      <c r="AG203" s="275"/>
      <c r="AH203" s="275"/>
      <c r="AI203" s="275"/>
    </row>
    <row r="204" spans="1:35" ht="15">
      <c r="A204" s="276"/>
      <c r="B204" s="223"/>
      <c r="C204" s="275"/>
      <c r="D204" s="275"/>
      <c r="E204" s="275"/>
      <c r="F204" s="331"/>
      <c r="G204" s="331"/>
      <c r="H204" s="331"/>
      <c r="I204" s="332"/>
      <c r="J204" s="333"/>
      <c r="K204" s="333"/>
      <c r="L204" s="331"/>
      <c r="M204" s="223"/>
      <c r="N204" s="223"/>
      <c r="O204" s="223"/>
      <c r="P204" s="223"/>
      <c r="Q204" s="223"/>
      <c r="R204" s="223"/>
      <c r="S204" s="275"/>
      <c r="T204" s="275"/>
      <c r="U204" s="275"/>
      <c r="V204" s="275"/>
      <c r="W204" s="275"/>
      <c r="X204" s="275"/>
      <c r="Y204" s="275"/>
      <c r="Z204" s="275"/>
      <c r="AA204" s="275"/>
      <c r="AB204" s="223"/>
      <c r="AC204" s="275"/>
      <c r="AD204" s="275"/>
      <c r="AE204" s="275"/>
      <c r="AF204" s="275"/>
      <c r="AG204" s="275"/>
      <c r="AH204" s="275"/>
      <c r="AI204" s="275"/>
    </row>
    <row r="205" spans="1:35" ht="15">
      <c r="A205" s="276"/>
      <c r="B205" s="223"/>
      <c r="C205" s="275"/>
      <c r="D205" s="275"/>
      <c r="E205" s="275"/>
      <c r="F205" s="331"/>
      <c r="G205" s="331"/>
      <c r="H205" s="331"/>
      <c r="I205" s="332"/>
      <c r="J205" s="333"/>
      <c r="K205" s="333"/>
      <c r="L205" s="331"/>
      <c r="M205" s="223"/>
      <c r="N205" s="223"/>
      <c r="O205" s="223"/>
      <c r="P205" s="223"/>
      <c r="Q205" s="223"/>
      <c r="R205" s="223"/>
      <c r="S205" s="275"/>
      <c r="T205" s="275"/>
      <c r="U205" s="275"/>
      <c r="V205" s="275"/>
      <c r="W205" s="275"/>
      <c r="X205" s="275"/>
      <c r="Y205" s="275"/>
      <c r="Z205" s="275"/>
      <c r="AA205" s="275"/>
      <c r="AB205" s="223"/>
      <c r="AC205" s="275"/>
      <c r="AD205" s="275"/>
      <c r="AE205" s="275"/>
      <c r="AF205" s="275"/>
      <c r="AG205" s="275"/>
      <c r="AH205" s="275"/>
      <c r="AI205" s="275"/>
    </row>
    <row r="206" spans="1:35" ht="15">
      <c r="A206" s="276"/>
      <c r="B206" s="223"/>
      <c r="C206" s="275"/>
      <c r="D206" s="275"/>
      <c r="E206" s="275"/>
      <c r="F206" s="331"/>
      <c r="G206" s="331"/>
      <c r="H206" s="331"/>
      <c r="I206" s="332"/>
      <c r="J206" s="333"/>
      <c r="K206" s="333"/>
      <c r="L206" s="331"/>
      <c r="M206" s="223"/>
      <c r="N206" s="223"/>
      <c r="O206" s="223"/>
      <c r="P206" s="223"/>
      <c r="Q206" s="223"/>
      <c r="R206" s="223"/>
      <c r="S206" s="275"/>
      <c r="T206" s="275"/>
      <c r="U206" s="275"/>
      <c r="V206" s="275"/>
      <c r="W206" s="275"/>
      <c r="X206" s="275"/>
      <c r="Y206" s="275"/>
      <c r="Z206" s="275"/>
      <c r="AA206" s="275"/>
      <c r="AB206" s="223"/>
      <c r="AC206" s="275"/>
      <c r="AD206" s="275"/>
      <c r="AE206" s="275"/>
      <c r="AF206" s="275"/>
      <c r="AG206" s="275"/>
      <c r="AH206" s="275"/>
      <c r="AI206" s="275"/>
    </row>
    <row r="207" spans="1:35" ht="15">
      <c r="A207" s="276"/>
      <c r="B207" s="223"/>
      <c r="C207" s="275"/>
      <c r="D207" s="275"/>
      <c r="E207" s="275"/>
      <c r="F207" s="331"/>
      <c r="G207" s="331"/>
      <c r="H207" s="331"/>
      <c r="I207" s="332"/>
      <c r="J207" s="333"/>
      <c r="K207" s="333"/>
      <c r="L207" s="331"/>
      <c r="M207" s="223"/>
      <c r="N207" s="223"/>
      <c r="O207" s="223"/>
      <c r="P207" s="223"/>
      <c r="Q207" s="223"/>
      <c r="R207" s="223"/>
      <c r="S207" s="275"/>
      <c r="T207" s="275"/>
      <c r="U207" s="275"/>
      <c r="V207" s="275"/>
      <c r="W207" s="275"/>
      <c r="X207" s="275"/>
      <c r="Y207" s="275"/>
      <c r="Z207" s="275"/>
      <c r="AA207" s="275"/>
      <c r="AB207" s="223"/>
      <c r="AC207" s="275"/>
      <c r="AD207" s="275"/>
      <c r="AE207" s="275"/>
      <c r="AF207" s="275"/>
      <c r="AG207" s="275"/>
      <c r="AH207" s="275"/>
      <c r="AI207" s="275"/>
    </row>
    <row r="208" spans="1:35" ht="15">
      <c r="A208" s="276"/>
      <c r="B208" s="223"/>
      <c r="C208" s="275"/>
      <c r="D208" s="275"/>
      <c r="E208" s="275"/>
      <c r="F208" s="331"/>
      <c r="G208" s="331"/>
      <c r="H208" s="331"/>
      <c r="I208" s="332"/>
      <c r="J208" s="333"/>
      <c r="K208" s="333"/>
      <c r="L208" s="331"/>
      <c r="M208" s="223"/>
      <c r="N208" s="223"/>
      <c r="O208" s="223"/>
      <c r="P208" s="223"/>
      <c r="Q208" s="223"/>
      <c r="R208" s="223"/>
      <c r="S208" s="275"/>
      <c r="T208" s="275"/>
      <c r="U208" s="275"/>
      <c r="V208" s="275"/>
      <c r="W208" s="275"/>
      <c r="X208" s="275"/>
      <c r="Y208" s="275"/>
      <c r="Z208" s="275"/>
      <c r="AA208" s="275"/>
      <c r="AB208" s="223"/>
      <c r="AC208" s="275"/>
      <c r="AD208" s="275"/>
      <c r="AE208" s="275"/>
      <c r="AF208" s="275"/>
      <c r="AG208" s="275"/>
      <c r="AH208" s="275"/>
      <c r="AI208" s="275"/>
    </row>
    <row r="209" spans="1:35" ht="15">
      <c r="A209" s="276"/>
      <c r="B209" s="223"/>
      <c r="C209" s="275"/>
      <c r="D209" s="275"/>
      <c r="E209" s="275"/>
      <c r="F209" s="331"/>
      <c r="G209" s="331"/>
      <c r="H209" s="331"/>
      <c r="I209" s="332"/>
      <c r="J209" s="333"/>
      <c r="K209" s="333"/>
      <c r="L209" s="331"/>
      <c r="M209" s="223"/>
      <c r="N209" s="223"/>
      <c r="O209" s="223"/>
      <c r="P209" s="223"/>
      <c r="Q209" s="223"/>
      <c r="R209" s="223"/>
      <c r="S209" s="275"/>
      <c r="T209" s="275"/>
      <c r="U209" s="275"/>
      <c r="V209" s="275"/>
      <c r="W209" s="275"/>
      <c r="X209" s="275"/>
      <c r="Y209" s="275"/>
      <c r="Z209" s="275"/>
      <c r="AA209" s="275"/>
      <c r="AB209" s="223"/>
      <c r="AC209" s="275"/>
      <c r="AD209" s="275"/>
      <c r="AE209" s="275"/>
      <c r="AF209" s="275"/>
      <c r="AG209" s="275"/>
      <c r="AH209" s="275"/>
      <c r="AI209" s="275"/>
    </row>
    <row r="210" spans="1:35" ht="15">
      <c r="A210" s="276"/>
      <c r="B210" s="223"/>
      <c r="C210" s="275"/>
      <c r="D210" s="275"/>
      <c r="E210" s="275"/>
      <c r="F210" s="331"/>
      <c r="G210" s="331"/>
      <c r="H210" s="331"/>
      <c r="I210" s="332"/>
      <c r="J210" s="333"/>
      <c r="K210" s="333"/>
      <c r="L210" s="331"/>
      <c r="M210" s="223"/>
      <c r="N210" s="223"/>
      <c r="O210" s="223"/>
      <c r="P210" s="223"/>
      <c r="Q210" s="223"/>
      <c r="R210" s="223"/>
      <c r="S210" s="275"/>
      <c r="T210" s="275"/>
      <c r="U210" s="275"/>
      <c r="V210" s="275"/>
      <c r="W210" s="275"/>
      <c r="X210" s="275"/>
      <c r="Y210" s="275"/>
      <c r="Z210" s="275"/>
      <c r="AA210" s="275"/>
      <c r="AB210" s="223"/>
      <c r="AC210" s="275"/>
      <c r="AD210" s="275"/>
      <c r="AE210" s="275"/>
      <c r="AF210" s="275"/>
      <c r="AG210" s="275"/>
      <c r="AH210" s="275"/>
      <c r="AI210" s="275"/>
    </row>
    <row r="211" spans="1:35" ht="15">
      <c r="A211" s="276"/>
      <c r="B211" s="223"/>
      <c r="C211" s="275"/>
      <c r="D211" s="275"/>
      <c r="E211" s="275"/>
      <c r="F211" s="331"/>
      <c r="G211" s="331"/>
      <c r="H211" s="331"/>
      <c r="I211" s="332"/>
      <c r="J211" s="333"/>
      <c r="K211" s="333"/>
      <c r="L211" s="331"/>
      <c r="M211" s="223"/>
      <c r="N211" s="223"/>
      <c r="O211" s="223"/>
      <c r="P211" s="223"/>
      <c r="Q211" s="223"/>
      <c r="R211" s="223"/>
      <c r="S211" s="275"/>
      <c r="T211" s="275"/>
      <c r="U211" s="275"/>
      <c r="V211" s="275"/>
      <c r="W211" s="275"/>
      <c r="X211" s="275"/>
      <c r="Y211" s="275"/>
      <c r="Z211" s="275"/>
      <c r="AA211" s="275"/>
      <c r="AB211" s="223"/>
      <c r="AC211" s="275"/>
      <c r="AD211" s="275"/>
      <c r="AE211" s="275"/>
      <c r="AF211" s="275"/>
      <c r="AG211" s="275"/>
      <c r="AH211" s="275"/>
      <c r="AI211" s="275"/>
    </row>
    <row r="212" spans="1:35" ht="15">
      <c r="A212" s="276"/>
      <c r="B212" s="223"/>
      <c r="C212" s="275"/>
      <c r="D212" s="275"/>
      <c r="E212" s="275"/>
      <c r="F212" s="331"/>
      <c r="G212" s="331"/>
      <c r="H212" s="331"/>
      <c r="I212" s="332"/>
      <c r="J212" s="333"/>
      <c r="K212" s="333"/>
      <c r="L212" s="331"/>
      <c r="M212" s="223"/>
      <c r="N212" s="223"/>
      <c r="O212" s="223"/>
      <c r="P212" s="223"/>
      <c r="Q212" s="223"/>
      <c r="R212" s="223"/>
      <c r="S212" s="275"/>
      <c r="T212" s="275"/>
      <c r="U212" s="275"/>
      <c r="V212" s="275"/>
      <c r="W212" s="275"/>
      <c r="X212" s="275"/>
      <c r="Y212" s="275"/>
      <c r="Z212" s="275"/>
      <c r="AA212" s="275"/>
      <c r="AB212" s="223"/>
      <c r="AC212" s="275"/>
      <c r="AD212" s="275"/>
      <c r="AE212" s="275"/>
      <c r="AF212" s="275"/>
      <c r="AG212" s="275"/>
      <c r="AH212" s="275"/>
      <c r="AI212" s="275"/>
    </row>
    <row r="213" spans="1:35" ht="15">
      <c r="A213" s="276"/>
      <c r="B213" s="223"/>
      <c r="C213" s="275"/>
      <c r="D213" s="275"/>
      <c r="E213" s="275"/>
      <c r="F213" s="331"/>
      <c r="G213" s="331"/>
      <c r="H213" s="331"/>
      <c r="I213" s="332"/>
      <c r="J213" s="333"/>
      <c r="K213" s="333"/>
      <c r="L213" s="331"/>
      <c r="M213" s="223"/>
      <c r="N213" s="223"/>
      <c r="O213" s="223"/>
      <c r="P213" s="223"/>
      <c r="Q213" s="223"/>
      <c r="R213" s="223"/>
      <c r="S213" s="275"/>
      <c r="T213" s="275"/>
      <c r="U213" s="275"/>
      <c r="V213" s="275"/>
      <c r="W213" s="275"/>
      <c r="X213" s="275"/>
      <c r="Y213" s="275"/>
      <c r="Z213" s="275"/>
      <c r="AA213" s="275"/>
      <c r="AB213" s="223"/>
      <c r="AC213" s="275"/>
      <c r="AD213" s="275"/>
      <c r="AE213" s="275"/>
      <c r="AF213" s="275"/>
      <c r="AG213" s="275"/>
      <c r="AH213" s="275"/>
      <c r="AI213" s="275"/>
    </row>
    <row r="214" spans="1:35" ht="15">
      <c r="A214" s="276"/>
      <c r="B214" s="223"/>
      <c r="C214" s="275"/>
      <c r="D214" s="275"/>
      <c r="E214" s="275"/>
      <c r="F214" s="331"/>
      <c r="G214" s="331"/>
      <c r="H214" s="331"/>
      <c r="I214" s="332"/>
      <c r="J214" s="333"/>
      <c r="K214" s="333"/>
      <c r="L214" s="331"/>
      <c r="M214" s="223"/>
      <c r="N214" s="223"/>
      <c r="O214" s="223"/>
      <c r="P214" s="223"/>
      <c r="Q214" s="223"/>
      <c r="R214" s="223"/>
      <c r="S214" s="275"/>
      <c r="T214" s="275"/>
      <c r="U214" s="275"/>
      <c r="V214" s="275"/>
      <c r="W214" s="275"/>
      <c r="X214" s="275"/>
      <c r="Y214" s="275"/>
      <c r="Z214" s="275"/>
      <c r="AA214" s="275"/>
      <c r="AB214" s="223"/>
      <c r="AC214" s="275"/>
      <c r="AD214" s="275"/>
      <c r="AE214" s="275"/>
      <c r="AF214" s="275"/>
      <c r="AG214" s="275"/>
      <c r="AH214" s="275"/>
      <c r="AI214" s="275"/>
    </row>
    <row r="215" spans="1:35" ht="15">
      <c r="A215" s="276"/>
      <c r="B215" s="223"/>
      <c r="C215" s="275"/>
      <c r="D215" s="275"/>
      <c r="E215" s="275"/>
      <c r="F215" s="331"/>
      <c r="G215" s="331"/>
      <c r="H215" s="331"/>
      <c r="I215" s="332"/>
      <c r="J215" s="333"/>
      <c r="K215" s="333"/>
      <c r="L215" s="331"/>
      <c r="M215" s="223"/>
      <c r="N215" s="223"/>
      <c r="O215" s="223"/>
      <c r="P215" s="223"/>
      <c r="Q215" s="223"/>
      <c r="R215" s="223"/>
      <c r="S215" s="275"/>
      <c r="T215" s="275"/>
      <c r="U215" s="275"/>
      <c r="V215" s="275"/>
      <c r="W215" s="275"/>
      <c r="X215" s="275"/>
      <c r="Y215" s="275"/>
      <c r="Z215" s="275"/>
      <c r="AA215" s="275"/>
      <c r="AB215" s="223"/>
      <c r="AC215" s="275"/>
      <c r="AD215" s="275"/>
      <c r="AE215" s="275"/>
      <c r="AF215" s="275"/>
      <c r="AG215" s="275"/>
      <c r="AH215" s="275"/>
      <c r="AI215" s="275"/>
    </row>
    <row r="216" spans="1:35" ht="15">
      <c r="A216" s="276"/>
      <c r="B216" s="223"/>
      <c r="C216" s="275"/>
      <c r="D216" s="275"/>
      <c r="E216" s="275"/>
      <c r="F216" s="331"/>
      <c r="G216" s="331"/>
      <c r="H216" s="331"/>
      <c r="I216" s="332"/>
      <c r="J216" s="333"/>
      <c r="K216" s="333"/>
      <c r="L216" s="331"/>
      <c r="M216" s="223"/>
      <c r="N216" s="223"/>
      <c r="O216" s="223"/>
      <c r="P216" s="223"/>
      <c r="Q216" s="223"/>
      <c r="R216" s="223"/>
      <c r="S216" s="275"/>
      <c r="T216" s="275"/>
      <c r="U216" s="275"/>
      <c r="V216" s="275"/>
      <c r="W216" s="275"/>
      <c r="X216" s="275"/>
      <c r="Y216" s="275"/>
      <c r="Z216" s="275"/>
      <c r="AA216" s="275"/>
      <c r="AB216" s="223"/>
      <c r="AC216" s="275"/>
      <c r="AD216" s="275"/>
      <c r="AE216" s="275"/>
      <c r="AF216" s="275"/>
      <c r="AG216" s="275"/>
      <c r="AH216" s="275"/>
      <c r="AI216" s="275"/>
    </row>
    <row r="217" spans="1:35" ht="15">
      <c r="A217" s="276"/>
      <c r="B217" s="223"/>
      <c r="C217" s="275"/>
      <c r="D217" s="275"/>
      <c r="E217" s="275"/>
      <c r="F217" s="331"/>
      <c r="G217" s="331"/>
      <c r="H217" s="331"/>
      <c r="I217" s="332"/>
      <c r="J217" s="333"/>
      <c r="K217" s="333"/>
      <c r="L217" s="331"/>
      <c r="M217" s="223"/>
      <c r="N217" s="223"/>
      <c r="O217" s="223"/>
      <c r="P217" s="223"/>
      <c r="Q217" s="223"/>
      <c r="R217" s="223"/>
      <c r="S217" s="275"/>
      <c r="T217" s="275"/>
      <c r="U217" s="275"/>
      <c r="V217" s="275"/>
      <c r="W217" s="275"/>
      <c r="X217" s="275"/>
      <c r="Y217" s="275"/>
      <c r="Z217" s="275"/>
      <c r="AA217" s="275"/>
      <c r="AB217" s="223"/>
      <c r="AC217" s="275"/>
      <c r="AD217" s="275"/>
      <c r="AE217" s="275"/>
      <c r="AF217" s="275"/>
      <c r="AG217" s="275"/>
      <c r="AH217" s="275"/>
      <c r="AI217" s="275"/>
    </row>
    <row r="218" spans="1:35" ht="15">
      <c r="A218" s="276"/>
      <c r="B218" s="223"/>
      <c r="C218" s="275"/>
      <c r="D218" s="275"/>
      <c r="E218" s="275"/>
      <c r="F218" s="331"/>
      <c r="G218" s="331"/>
      <c r="H218" s="331"/>
      <c r="I218" s="332"/>
      <c r="J218" s="333"/>
      <c r="K218" s="333"/>
      <c r="L218" s="331"/>
      <c r="M218" s="223"/>
      <c r="N218" s="223"/>
      <c r="O218" s="223"/>
      <c r="P218" s="223"/>
      <c r="Q218" s="223"/>
      <c r="R218" s="223"/>
      <c r="S218" s="275"/>
      <c r="T218" s="275"/>
      <c r="U218" s="275"/>
      <c r="V218" s="275"/>
      <c r="W218" s="275"/>
      <c r="X218" s="275"/>
      <c r="Y218" s="275"/>
      <c r="Z218" s="275"/>
      <c r="AA218" s="275"/>
      <c r="AB218" s="223"/>
      <c r="AC218" s="275"/>
      <c r="AD218" s="275"/>
      <c r="AE218" s="275"/>
      <c r="AF218" s="275"/>
      <c r="AG218" s="275"/>
      <c r="AH218" s="275"/>
      <c r="AI218" s="275"/>
    </row>
    <row r="219" spans="1:35" ht="15">
      <c r="A219" s="276"/>
      <c r="B219" s="223"/>
      <c r="C219" s="275"/>
      <c r="D219" s="275"/>
      <c r="E219" s="275"/>
      <c r="F219" s="331"/>
      <c r="G219" s="331"/>
      <c r="H219" s="331"/>
      <c r="I219" s="332"/>
      <c r="J219" s="333"/>
      <c r="K219" s="333"/>
      <c r="L219" s="331"/>
      <c r="M219" s="223"/>
      <c r="N219" s="223"/>
      <c r="O219" s="223"/>
      <c r="P219" s="223"/>
      <c r="Q219" s="223"/>
      <c r="R219" s="223"/>
      <c r="S219" s="275"/>
      <c r="T219" s="275"/>
      <c r="U219" s="275"/>
      <c r="V219" s="275"/>
      <c r="W219" s="275"/>
      <c r="X219" s="275"/>
      <c r="Y219" s="275"/>
      <c r="Z219" s="275"/>
      <c r="AA219" s="275"/>
      <c r="AB219" s="223"/>
      <c r="AC219" s="275"/>
      <c r="AD219" s="275"/>
      <c r="AE219" s="275"/>
      <c r="AF219" s="275"/>
      <c r="AG219" s="275"/>
      <c r="AH219" s="275"/>
      <c r="AI219" s="275"/>
    </row>
    <row r="220" spans="1:35" ht="15">
      <c r="A220" s="276"/>
      <c r="B220" s="223"/>
      <c r="C220" s="275"/>
      <c r="D220" s="275"/>
      <c r="E220" s="275"/>
      <c r="F220" s="331"/>
      <c r="G220" s="331"/>
      <c r="H220" s="331"/>
      <c r="I220" s="332"/>
      <c r="J220" s="333"/>
      <c r="K220" s="333"/>
      <c r="L220" s="331"/>
      <c r="M220" s="223"/>
      <c r="N220" s="223"/>
      <c r="O220" s="223"/>
      <c r="P220" s="223"/>
      <c r="Q220" s="223"/>
      <c r="R220" s="223"/>
      <c r="S220" s="275"/>
      <c r="T220" s="275"/>
      <c r="U220" s="275"/>
      <c r="V220" s="275"/>
      <c r="W220" s="275"/>
      <c r="X220" s="275"/>
      <c r="Y220" s="275"/>
      <c r="Z220" s="275"/>
      <c r="AA220" s="275"/>
      <c r="AB220" s="223"/>
      <c r="AC220" s="275"/>
      <c r="AD220" s="275"/>
      <c r="AE220" s="275"/>
      <c r="AF220" s="275"/>
      <c r="AG220" s="275"/>
      <c r="AH220" s="275"/>
      <c r="AI220" s="275"/>
    </row>
    <row r="221" spans="1:35" ht="15">
      <c r="A221" s="276"/>
      <c r="B221" s="223"/>
      <c r="C221" s="275"/>
      <c r="D221" s="275"/>
      <c r="E221" s="275"/>
      <c r="F221" s="331"/>
      <c r="G221" s="331"/>
      <c r="H221" s="331"/>
      <c r="I221" s="332"/>
      <c r="J221" s="333"/>
      <c r="K221" s="333"/>
      <c r="L221" s="331"/>
      <c r="M221" s="223"/>
      <c r="N221" s="223"/>
      <c r="O221" s="223"/>
      <c r="P221" s="223"/>
      <c r="Q221" s="223"/>
      <c r="R221" s="223"/>
      <c r="S221" s="275"/>
      <c r="T221" s="275"/>
      <c r="U221" s="275"/>
      <c r="V221" s="275"/>
      <c r="W221" s="275"/>
      <c r="X221" s="275"/>
      <c r="Y221" s="275"/>
      <c r="Z221" s="275"/>
      <c r="AA221" s="275"/>
      <c r="AB221" s="223"/>
      <c r="AC221" s="275"/>
      <c r="AD221" s="275"/>
      <c r="AE221" s="275"/>
      <c r="AF221" s="275"/>
      <c r="AG221" s="275"/>
      <c r="AH221" s="275"/>
      <c r="AI221" s="275"/>
    </row>
    <row r="222" spans="1:35" ht="15">
      <c r="A222" s="209"/>
      <c r="B222" s="223"/>
      <c r="C222" s="275"/>
      <c r="D222" s="275"/>
      <c r="E222" s="275"/>
      <c r="F222" s="331"/>
      <c r="G222" s="331"/>
      <c r="H222" s="331"/>
      <c r="I222" s="332"/>
      <c r="J222" s="333"/>
      <c r="K222" s="333"/>
      <c r="L222" s="331"/>
      <c r="M222" s="223"/>
      <c r="N222" s="223"/>
      <c r="O222" s="223"/>
      <c r="P222" s="223"/>
      <c r="Q222" s="223"/>
      <c r="R222" s="223"/>
      <c r="S222" s="275"/>
      <c r="T222" s="275"/>
      <c r="U222" s="275"/>
      <c r="V222" s="275"/>
      <c r="W222" s="275"/>
      <c r="X222" s="275"/>
      <c r="Y222" s="275"/>
      <c r="Z222" s="275"/>
      <c r="AA222" s="275"/>
      <c r="AB222" s="223"/>
      <c r="AC222" s="275"/>
      <c r="AD222" s="275"/>
      <c r="AE222" s="275"/>
      <c r="AF222" s="275"/>
      <c r="AG222" s="275"/>
      <c r="AH222" s="275"/>
      <c r="AI222" s="275"/>
    </row>
    <row r="223" spans="1:35" ht="15">
      <c r="A223" s="209"/>
      <c r="B223" s="223"/>
      <c r="C223" s="275"/>
      <c r="D223" s="275"/>
      <c r="E223" s="275"/>
      <c r="F223" s="331"/>
      <c r="G223" s="331"/>
      <c r="H223" s="331"/>
      <c r="I223" s="332"/>
      <c r="J223" s="333"/>
      <c r="K223" s="333"/>
      <c r="L223" s="331"/>
      <c r="M223" s="223"/>
      <c r="N223" s="223"/>
      <c r="O223" s="223"/>
      <c r="P223" s="223"/>
      <c r="Q223" s="223"/>
      <c r="R223" s="223"/>
      <c r="S223" s="275"/>
      <c r="T223" s="275"/>
      <c r="U223" s="275"/>
      <c r="V223" s="275"/>
      <c r="W223" s="275"/>
      <c r="X223" s="275"/>
      <c r="Y223" s="275"/>
      <c r="Z223" s="275"/>
      <c r="AA223" s="275"/>
      <c r="AB223" s="223"/>
      <c r="AC223" s="275"/>
      <c r="AD223" s="275"/>
      <c r="AE223" s="275"/>
      <c r="AF223" s="275"/>
      <c r="AG223" s="275"/>
      <c r="AH223" s="275"/>
      <c r="AI223" s="275"/>
    </row>
    <row r="224" spans="1:35" ht="15">
      <c r="A224" s="209"/>
      <c r="B224" s="223"/>
      <c r="C224" s="275"/>
      <c r="D224" s="275"/>
      <c r="E224" s="275"/>
      <c r="F224" s="331"/>
      <c r="G224" s="331"/>
      <c r="H224" s="331"/>
      <c r="I224" s="332"/>
      <c r="J224" s="333"/>
      <c r="K224" s="333"/>
      <c r="L224" s="331"/>
      <c r="M224" s="223"/>
      <c r="N224" s="223"/>
      <c r="O224" s="223"/>
      <c r="P224" s="223"/>
      <c r="Q224" s="223"/>
      <c r="R224" s="223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23"/>
      <c r="AC224" s="275"/>
      <c r="AD224" s="275"/>
      <c r="AE224" s="275"/>
      <c r="AF224" s="275"/>
      <c r="AG224" s="275"/>
      <c r="AH224" s="275"/>
      <c r="AI224" s="275"/>
    </row>
    <row r="225" spans="1:35" ht="15">
      <c r="A225" s="209"/>
      <c r="B225" s="223"/>
      <c r="C225" s="275"/>
      <c r="D225" s="275"/>
      <c r="E225" s="275"/>
      <c r="F225" s="331"/>
      <c r="G225" s="331"/>
      <c r="H225" s="331"/>
      <c r="I225" s="332"/>
      <c r="J225" s="333"/>
      <c r="K225" s="333"/>
      <c r="L225" s="331"/>
      <c r="M225" s="223"/>
      <c r="N225" s="223"/>
      <c r="O225" s="223"/>
      <c r="P225" s="223"/>
      <c r="Q225" s="223"/>
      <c r="R225" s="223"/>
      <c r="S225" s="275"/>
      <c r="T225" s="275"/>
      <c r="U225" s="275"/>
      <c r="V225" s="275"/>
      <c r="W225" s="275"/>
      <c r="X225" s="275"/>
      <c r="Y225" s="275"/>
      <c r="Z225" s="275"/>
      <c r="AA225" s="275"/>
      <c r="AB225" s="223"/>
      <c r="AC225" s="275"/>
      <c r="AD225" s="275"/>
      <c r="AE225" s="275"/>
      <c r="AF225" s="275"/>
      <c r="AG225" s="275"/>
      <c r="AH225" s="275"/>
      <c r="AI225" s="275"/>
    </row>
    <row r="226" spans="1:35" ht="15">
      <c r="A226" s="209"/>
      <c r="B226" s="223"/>
      <c r="C226" s="275"/>
      <c r="D226" s="275"/>
      <c r="E226" s="275"/>
      <c r="F226" s="331"/>
      <c r="G226" s="331"/>
      <c r="H226" s="331"/>
      <c r="I226" s="332"/>
      <c r="J226" s="333"/>
      <c r="K226" s="333"/>
      <c r="L226" s="331"/>
      <c r="M226" s="223"/>
      <c r="N226" s="223"/>
      <c r="O226" s="223"/>
      <c r="P226" s="223"/>
      <c r="Q226" s="223"/>
      <c r="R226" s="223"/>
      <c r="S226" s="275"/>
      <c r="T226" s="275"/>
      <c r="U226" s="275"/>
      <c r="V226" s="275"/>
      <c r="W226" s="275"/>
      <c r="X226" s="275"/>
      <c r="Y226" s="275"/>
      <c r="Z226" s="275"/>
      <c r="AA226" s="275"/>
      <c r="AB226" s="223"/>
      <c r="AC226" s="275"/>
      <c r="AD226" s="275"/>
      <c r="AE226" s="275"/>
      <c r="AF226" s="275"/>
      <c r="AG226" s="275"/>
      <c r="AH226" s="275"/>
      <c r="AI226" s="275"/>
    </row>
    <row r="227" spans="1:35" ht="15">
      <c r="A227" s="209"/>
      <c r="B227" s="223"/>
      <c r="C227" s="275"/>
      <c r="D227" s="275"/>
      <c r="E227" s="275"/>
      <c r="F227" s="331"/>
      <c r="G227" s="331"/>
      <c r="H227" s="331"/>
      <c r="I227" s="332"/>
      <c r="J227" s="333"/>
      <c r="K227" s="333"/>
      <c r="L227" s="331"/>
      <c r="M227" s="223"/>
      <c r="N227" s="223"/>
      <c r="O227" s="223"/>
      <c r="P227" s="223"/>
      <c r="Q227" s="223"/>
      <c r="R227" s="223"/>
      <c r="S227" s="275"/>
      <c r="T227" s="275"/>
      <c r="U227" s="275"/>
      <c r="V227" s="275"/>
      <c r="W227" s="275"/>
      <c r="X227" s="275"/>
      <c r="Y227" s="275"/>
      <c r="Z227" s="275"/>
      <c r="AA227" s="275"/>
      <c r="AB227" s="223"/>
      <c r="AC227" s="275"/>
      <c r="AD227" s="275"/>
      <c r="AE227" s="275"/>
      <c r="AF227" s="275"/>
      <c r="AG227" s="275"/>
      <c r="AH227" s="275"/>
      <c r="AI227" s="275"/>
    </row>
    <row r="228" spans="1:35" ht="15">
      <c r="A228" s="209"/>
      <c r="B228" s="223"/>
      <c r="C228" s="275"/>
      <c r="D228" s="275"/>
      <c r="E228" s="275"/>
      <c r="F228" s="331"/>
      <c r="G228" s="331"/>
      <c r="H228" s="331"/>
      <c r="I228" s="332"/>
      <c r="J228" s="333"/>
      <c r="K228" s="333"/>
      <c r="L228" s="331"/>
      <c r="M228" s="223"/>
      <c r="N228" s="223"/>
      <c r="O228" s="223"/>
      <c r="P228" s="223"/>
      <c r="Q228" s="223"/>
      <c r="R228" s="223"/>
      <c r="S228" s="275"/>
      <c r="T228" s="275"/>
      <c r="U228" s="275"/>
      <c r="V228" s="275"/>
      <c r="W228" s="275"/>
      <c r="X228" s="275"/>
      <c r="Y228" s="275"/>
      <c r="Z228" s="275"/>
      <c r="AA228" s="275"/>
      <c r="AB228" s="223"/>
      <c r="AC228" s="275"/>
      <c r="AD228" s="275"/>
      <c r="AE228" s="275"/>
      <c r="AF228" s="275"/>
      <c r="AG228" s="275"/>
      <c r="AH228" s="275"/>
      <c r="AI228" s="275"/>
    </row>
    <row r="229" spans="1:35" ht="15">
      <c r="A229" s="209"/>
      <c r="B229" s="223"/>
      <c r="C229" s="275"/>
      <c r="D229" s="275"/>
      <c r="E229" s="275"/>
      <c r="F229" s="331"/>
      <c r="G229" s="331"/>
      <c r="H229" s="331"/>
      <c r="I229" s="332"/>
      <c r="J229" s="333"/>
      <c r="K229" s="333"/>
      <c r="L229" s="331"/>
      <c r="M229" s="223"/>
      <c r="N229" s="223"/>
      <c r="O229" s="223"/>
      <c r="P229" s="223"/>
      <c r="Q229" s="223"/>
      <c r="R229" s="223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23"/>
      <c r="AC229" s="275"/>
      <c r="AD229" s="275"/>
      <c r="AE229" s="275"/>
      <c r="AF229" s="275"/>
      <c r="AG229" s="275"/>
      <c r="AH229" s="275"/>
      <c r="AI229" s="275"/>
    </row>
    <row r="230" spans="1:35" ht="15">
      <c r="A230" s="209"/>
      <c r="B230" s="223"/>
      <c r="C230" s="275"/>
      <c r="D230" s="275"/>
      <c r="E230" s="275"/>
      <c r="F230" s="331"/>
      <c r="G230" s="331"/>
      <c r="H230" s="331"/>
      <c r="I230" s="332"/>
      <c r="J230" s="333"/>
      <c r="K230" s="333"/>
      <c r="L230" s="331"/>
      <c r="M230" s="223"/>
      <c r="N230" s="223"/>
      <c r="O230" s="223"/>
      <c r="P230" s="223"/>
      <c r="Q230" s="223"/>
      <c r="R230" s="223"/>
      <c r="S230" s="275"/>
      <c r="T230" s="275"/>
      <c r="U230" s="275"/>
      <c r="V230" s="275"/>
      <c r="W230" s="275"/>
      <c r="X230" s="275"/>
      <c r="Y230" s="275"/>
      <c r="Z230" s="275"/>
      <c r="AA230" s="275"/>
      <c r="AB230" s="223"/>
      <c r="AC230" s="275"/>
      <c r="AD230" s="275"/>
      <c r="AE230" s="275"/>
      <c r="AF230" s="275"/>
      <c r="AG230" s="275"/>
      <c r="AH230" s="275"/>
      <c r="AI230" s="275"/>
    </row>
    <row r="231" spans="1:35" ht="15">
      <c r="A231" s="209"/>
      <c r="B231" s="223"/>
      <c r="C231" s="275"/>
      <c r="D231" s="275"/>
      <c r="E231" s="275"/>
      <c r="F231" s="331"/>
      <c r="G231" s="331"/>
      <c r="H231" s="331"/>
      <c r="I231" s="332"/>
      <c r="J231" s="333"/>
      <c r="K231" s="333"/>
      <c r="L231" s="331"/>
      <c r="M231" s="223"/>
      <c r="N231" s="223"/>
      <c r="O231" s="223"/>
      <c r="P231" s="223"/>
      <c r="Q231" s="223"/>
      <c r="R231" s="223"/>
      <c r="S231" s="275"/>
      <c r="T231" s="275"/>
      <c r="U231" s="275"/>
      <c r="V231" s="275"/>
      <c r="W231" s="275"/>
      <c r="X231" s="275"/>
      <c r="Y231" s="275"/>
      <c r="Z231" s="275"/>
      <c r="AA231" s="275"/>
      <c r="AB231" s="223"/>
      <c r="AC231" s="275"/>
      <c r="AD231" s="275"/>
      <c r="AE231" s="275"/>
      <c r="AF231" s="275"/>
      <c r="AG231" s="275"/>
      <c r="AH231" s="275"/>
      <c r="AI231" s="275"/>
    </row>
    <row r="232" spans="1:35" ht="15">
      <c r="A232" s="209"/>
      <c r="B232" s="223"/>
      <c r="C232" s="275"/>
      <c r="D232" s="275"/>
      <c r="E232" s="275"/>
      <c r="F232" s="331"/>
      <c r="G232" s="331"/>
      <c r="H232" s="331"/>
      <c r="I232" s="332"/>
      <c r="J232" s="333"/>
      <c r="K232" s="333"/>
      <c r="L232" s="331"/>
      <c r="M232" s="223"/>
      <c r="N232" s="223"/>
      <c r="O232" s="223"/>
      <c r="P232" s="223"/>
      <c r="Q232" s="223"/>
      <c r="R232" s="223"/>
      <c r="S232" s="275"/>
      <c r="T232" s="275"/>
      <c r="U232" s="275"/>
      <c r="V232" s="275"/>
      <c r="W232" s="275"/>
      <c r="X232" s="275"/>
      <c r="Y232" s="275"/>
      <c r="Z232" s="275"/>
      <c r="AA232" s="275"/>
      <c r="AB232" s="223"/>
      <c r="AC232" s="275"/>
      <c r="AD232" s="275"/>
      <c r="AE232" s="275"/>
      <c r="AF232" s="275"/>
      <c r="AG232" s="275"/>
      <c r="AH232" s="275"/>
      <c r="AI232" s="275"/>
    </row>
    <row r="233" spans="1:35" ht="15">
      <c r="A233" s="209"/>
      <c r="B233" s="223"/>
      <c r="C233" s="275"/>
      <c r="D233" s="275"/>
      <c r="E233" s="275"/>
      <c r="F233" s="331"/>
      <c r="G233" s="331"/>
      <c r="H233" s="331"/>
      <c r="I233" s="332"/>
      <c r="J233" s="333"/>
      <c r="K233" s="333"/>
      <c r="L233" s="331"/>
      <c r="M233" s="223"/>
      <c r="N233" s="223"/>
      <c r="O233" s="223"/>
      <c r="P233" s="223"/>
      <c r="Q233" s="223"/>
      <c r="R233" s="223"/>
      <c r="S233" s="275"/>
      <c r="T233" s="275"/>
      <c r="U233" s="275"/>
      <c r="V233" s="275"/>
      <c r="W233" s="275"/>
      <c r="X233" s="275"/>
      <c r="Y233" s="275"/>
      <c r="Z233" s="275"/>
      <c r="AA233" s="275"/>
      <c r="AB233" s="223"/>
      <c r="AC233" s="275"/>
      <c r="AD233" s="275"/>
      <c r="AE233" s="275"/>
      <c r="AF233" s="275"/>
      <c r="AG233" s="275"/>
      <c r="AH233" s="275"/>
      <c r="AI233" s="275"/>
    </row>
    <row r="234" spans="1:35" ht="15">
      <c r="A234" s="209"/>
      <c r="B234" s="223"/>
      <c r="C234" s="275"/>
      <c r="D234" s="275"/>
      <c r="E234" s="275"/>
      <c r="F234" s="331"/>
      <c r="G234" s="331"/>
      <c r="H234" s="331"/>
      <c r="I234" s="332"/>
      <c r="J234" s="333"/>
      <c r="K234" s="333"/>
      <c r="L234" s="331"/>
      <c r="M234" s="223"/>
      <c r="N234" s="223"/>
      <c r="O234" s="223"/>
      <c r="P234" s="223"/>
      <c r="Q234" s="223"/>
      <c r="R234" s="223"/>
      <c r="S234" s="275"/>
      <c r="T234" s="275"/>
      <c r="U234" s="275"/>
      <c r="V234" s="275"/>
      <c r="W234" s="275"/>
      <c r="X234" s="275"/>
      <c r="Y234" s="275"/>
      <c r="Z234" s="275"/>
      <c r="AA234" s="275"/>
      <c r="AB234" s="223"/>
      <c r="AC234" s="275"/>
      <c r="AD234" s="275"/>
      <c r="AE234" s="275"/>
      <c r="AF234" s="275"/>
      <c r="AG234" s="275"/>
      <c r="AH234" s="275"/>
      <c r="AI234" s="275"/>
    </row>
    <row r="235" spans="1:35" ht="15">
      <c r="A235" s="209"/>
      <c r="B235" s="223"/>
      <c r="C235" s="275"/>
      <c r="D235" s="275"/>
      <c r="E235" s="275"/>
      <c r="F235" s="331"/>
      <c r="G235" s="331"/>
      <c r="H235" s="331"/>
      <c r="I235" s="332"/>
      <c r="J235" s="333"/>
      <c r="K235" s="333"/>
      <c r="L235" s="331"/>
      <c r="M235" s="223"/>
      <c r="N235" s="223"/>
      <c r="O235" s="223"/>
      <c r="P235" s="223"/>
      <c r="Q235" s="223"/>
      <c r="R235" s="223"/>
      <c r="S235" s="275"/>
      <c r="T235" s="275"/>
      <c r="U235" s="275"/>
      <c r="V235" s="275"/>
      <c r="W235" s="275"/>
      <c r="X235" s="275"/>
      <c r="Y235" s="275"/>
      <c r="Z235" s="275"/>
      <c r="AA235" s="275"/>
      <c r="AB235" s="223"/>
      <c r="AC235" s="275"/>
      <c r="AD235" s="275"/>
      <c r="AE235" s="275"/>
      <c r="AF235" s="275"/>
      <c r="AG235" s="275"/>
      <c r="AH235" s="275"/>
      <c r="AI235" s="275"/>
    </row>
    <row r="236" spans="1:35" ht="15">
      <c r="A236" s="209"/>
      <c r="B236" s="223"/>
      <c r="C236" s="275"/>
      <c r="D236" s="275"/>
      <c r="E236" s="275"/>
      <c r="F236" s="331"/>
      <c r="G236" s="331"/>
      <c r="H236" s="331"/>
      <c r="I236" s="332"/>
      <c r="J236" s="333"/>
      <c r="K236" s="333"/>
      <c r="L236" s="331"/>
      <c r="M236" s="223"/>
      <c r="N236" s="223"/>
      <c r="O236" s="223"/>
      <c r="P236" s="223"/>
      <c r="Q236" s="223"/>
      <c r="R236" s="223"/>
      <c r="S236" s="275"/>
      <c r="T236" s="275"/>
      <c r="U236" s="275"/>
      <c r="V236" s="275"/>
      <c r="W236" s="275"/>
      <c r="X236" s="275"/>
      <c r="Y236" s="275"/>
      <c r="Z236" s="275"/>
      <c r="AA236" s="275"/>
      <c r="AB236" s="223"/>
      <c r="AC236" s="275"/>
      <c r="AD236" s="275"/>
      <c r="AE236" s="275"/>
      <c r="AF236" s="275"/>
      <c r="AG236" s="275"/>
      <c r="AH236" s="275"/>
      <c r="AI236" s="275"/>
    </row>
    <row r="237" spans="1:35" ht="15">
      <c r="A237" s="209"/>
      <c r="B237" s="223"/>
      <c r="C237" s="275"/>
      <c r="D237" s="275"/>
      <c r="E237" s="275"/>
      <c r="F237" s="331"/>
      <c r="G237" s="331"/>
      <c r="H237" s="331"/>
      <c r="I237" s="332"/>
      <c r="J237" s="333"/>
      <c r="K237" s="333"/>
      <c r="L237" s="331"/>
      <c r="M237" s="223"/>
      <c r="N237" s="223"/>
      <c r="O237" s="223"/>
      <c r="P237" s="223"/>
      <c r="Q237" s="223"/>
      <c r="R237" s="223"/>
      <c r="S237" s="275"/>
      <c r="T237" s="275"/>
      <c r="U237" s="275"/>
      <c r="V237" s="275"/>
      <c r="W237" s="275"/>
      <c r="X237" s="275"/>
      <c r="Y237" s="275"/>
      <c r="Z237" s="275"/>
      <c r="AA237" s="275"/>
      <c r="AB237" s="223"/>
      <c r="AC237" s="275"/>
      <c r="AD237" s="275"/>
      <c r="AE237" s="275"/>
      <c r="AF237" s="275"/>
      <c r="AG237" s="275"/>
      <c r="AH237" s="275"/>
      <c r="AI237" s="275"/>
    </row>
    <row r="238" spans="1:35" ht="15">
      <c r="A238" s="209"/>
      <c r="B238" s="223"/>
      <c r="C238" s="275"/>
      <c r="D238" s="275"/>
      <c r="E238" s="275"/>
      <c r="F238" s="331"/>
      <c r="G238" s="331"/>
      <c r="H238" s="331"/>
      <c r="I238" s="332"/>
      <c r="J238" s="333"/>
      <c r="K238" s="333"/>
      <c r="L238" s="331"/>
      <c r="M238" s="223"/>
      <c r="N238" s="223"/>
      <c r="O238" s="223"/>
      <c r="P238" s="223"/>
      <c r="Q238" s="223"/>
      <c r="R238" s="223"/>
      <c r="S238" s="275"/>
      <c r="T238" s="275"/>
      <c r="U238" s="275"/>
      <c r="V238" s="275"/>
      <c r="W238" s="275"/>
      <c r="X238" s="275"/>
      <c r="Y238" s="275"/>
      <c r="Z238" s="275"/>
      <c r="AA238" s="275"/>
      <c r="AB238" s="223"/>
      <c r="AC238" s="275"/>
      <c r="AD238" s="275"/>
      <c r="AE238" s="275"/>
      <c r="AF238" s="275"/>
      <c r="AG238" s="275"/>
      <c r="AH238" s="275"/>
      <c r="AI238" s="275"/>
    </row>
    <row r="239" spans="1:35" ht="15">
      <c r="A239" s="209"/>
      <c r="B239" s="223"/>
      <c r="C239" s="275"/>
      <c r="D239" s="275"/>
      <c r="E239" s="275"/>
      <c r="F239" s="331"/>
      <c r="G239" s="331"/>
      <c r="H239" s="331"/>
      <c r="I239" s="332"/>
      <c r="J239" s="333"/>
      <c r="K239" s="333"/>
      <c r="L239" s="331"/>
      <c r="M239" s="223"/>
      <c r="N239" s="223"/>
      <c r="O239" s="223"/>
      <c r="P239" s="223"/>
      <c r="Q239" s="223"/>
      <c r="R239" s="223"/>
      <c r="S239" s="275"/>
      <c r="T239" s="275"/>
      <c r="U239" s="275"/>
      <c r="V239" s="275"/>
      <c r="W239" s="275"/>
      <c r="X239" s="275"/>
      <c r="Y239" s="275"/>
      <c r="Z239" s="275"/>
      <c r="AA239" s="275"/>
      <c r="AB239" s="223"/>
      <c r="AC239" s="275"/>
      <c r="AD239" s="275"/>
      <c r="AE239" s="275"/>
      <c r="AF239" s="275"/>
      <c r="AG239" s="275"/>
      <c r="AH239" s="275"/>
      <c r="AI239" s="275"/>
    </row>
    <row r="240" spans="1:35" ht="15">
      <c r="A240" s="209"/>
      <c r="B240" s="223"/>
      <c r="C240" s="275"/>
      <c r="D240" s="275"/>
      <c r="E240" s="275"/>
      <c r="F240" s="331"/>
      <c r="G240" s="331"/>
      <c r="H240" s="331"/>
      <c r="I240" s="332"/>
      <c r="J240" s="331"/>
      <c r="K240" s="331"/>
      <c r="L240" s="331"/>
      <c r="M240" s="223"/>
      <c r="N240" s="223"/>
      <c r="O240" s="223"/>
      <c r="P240" s="223"/>
      <c r="Q240" s="223"/>
      <c r="R240" s="223"/>
      <c r="S240" s="275"/>
      <c r="T240" s="275"/>
      <c r="U240" s="275"/>
      <c r="V240" s="275"/>
      <c r="W240" s="275"/>
      <c r="X240" s="275"/>
      <c r="Y240" s="275"/>
      <c r="Z240" s="275"/>
      <c r="AA240" s="275"/>
      <c r="AB240" s="223"/>
      <c r="AC240" s="275"/>
      <c r="AD240" s="275"/>
      <c r="AE240" s="275"/>
      <c r="AF240" s="275"/>
      <c r="AG240" s="275"/>
      <c r="AH240" s="275"/>
      <c r="AI240" s="275"/>
    </row>
    <row r="241" spans="1:35" ht="15">
      <c r="A241" s="209"/>
      <c r="B241" s="223"/>
      <c r="C241" s="275"/>
      <c r="D241" s="275"/>
      <c r="E241" s="275"/>
      <c r="F241" s="331"/>
      <c r="G241" s="331"/>
      <c r="H241" s="331"/>
      <c r="I241" s="332"/>
      <c r="J241" s="331"/>
      <c r="K241" s="331"/>
      <c r="L241" s="331"/>
      <c r="M241" s="223"/>
      <c r="N241" s="223"/>
      <c r="O241" s="223"/>
      <c r="P241" s="223"/>
      <c r="Q241" s="223"/>
      <c r="R241" s="223"/>
      <c r="S241" s="275"/>
      <c r="T241" s="275"/>
      <c r="U241" s="275"/>
      <c r="V241" s="275"/>
      <c r="W241" s="275"/>
      <c r="X241" s="275"/>
      <c r="Y241" s="275"/>
      <c r="Z241" s="275"/>
      <c r="AA241" s="275"/>
      <c r="AB241" s="223"/>
      <c r="AC241" s="275"/>
      <c r="AD241" s="275"/>
      <c r="AE241" s="275"/>
      <c r="AF241" s="275"/>
      <c r="AG241" s="275"/>
      <c r="AH241" s="275"/>
      <c r="AI241" s="275"/>
    </row>
    <row r="242" spans="1:35" ht="15">
      <c r="A242" s="209"/>
      <c r="B242" s="223"/>
      <c r="C242" s="275"/>
      <c r="D242" s="275"/>
      <c r="E242" s="275"/>
      <c r="F242" s="331"/>
      <c r="G242" s="331"/>
      <c r="H242" s="331"/>
      <c r="I242" s="332"/>
      <c r="J242" s="331"/>
      <c r="K242" s="331"/>
      <c r="L242" s="331"/>
      <c r="M242" s="223"/>
      <c r="N242" s="223"/>
      <c r="O242" s="223"/>
      <c r="P242" s="223"/>
      <c r="Q242" s="223"/>
      <c r="R242" s="223"/>
      <c r="S242" s="275"/>
      <c r="T242" s="275"/>
      <c r="U242" s="275"/>
      <c r="V242" s="275"/>
      <c r="W242" s="275"/>
      <c r="X242" s="275"/>
      <c r="Y242" s="275"/>
      <c r="Z242" s="275"/>
      <c r="AA242" s="275"/>
      <c r="AB242" s="223"/>
      <c r="AC242" s="275"/>
      <c r="AD242" s="275"/>
      <c r="AE242" s="275"/>
      <c r="AF242" s="275"/>
      <c r="AG242" s="275"/>
      <c r="AH242" s="275"/>
      <c r="AI242" s="275"/>
    </row>
    <row r="243" spans="1:35" ht="15">
      <c r="A243" s="209"/>
      <c r="B243" s="223"/>
      <c r="C243" s="275"/>
      <c r="D243" s="275"/>
      <c r="E243" s="275"/>
      <c r="F243" s="331"/>
      <c r="G243" s="331"/>
      <c r="H243" s="331"/>
      <c r="I243" s="332"/>
      <c r="J243" s="331"/>
      <c r="K243" s="331"/>
      <c r="L243" s="331"/>
      <c r="M243" s="223"/>
      <c r="N243" s="223"/>
      <c r="O243" s="223"/>
      <c r="P243" s="223"/>
      <c r="Q243" s="223"/>
      <c r="R243" s="223"/>
      <c r="S243" s="275"/>
      <c r="T243" s="275"/>
      <c r="U243" s="275"/>
      <c r="V243" s="275"/>
      <c r="W243" s="275"/>
      <c r="X243" s="275"/>
      <c r="Y243" s="275"/>
      <c r="Z243" s="275"/>
      <c r="AA243" s="275"/>
      <c r="AB243" s="223"/>
      <c r="AC243" s="275"/>
      <c r="AD243" s="275"/>
      <c r="AE243" s="275"/>
      <c r="AF243" s="275"/>
      <c r="AG243" s="275"/>
      <c r="AH243" s="275"/>
      <c r="AI243" s="275"/>
    </row>
    <row r="244" spans="1:35" ht="15">
      <c r="A244" s="209"/>
      <c r="B244" s="223"/>
      <c r="C244" s="275"/>
      <c r="D244" s="275"/>
      <c r="E244" s="275"/>
      <c r="F244" s="331"/>
      <c r="G244" s="331"/>
      <c r="H244" s="331"/>
      <c r="I244" s="332"/>
      <c r="J244" s="331"/>
      <c r="K244" s="331"/>
      <c r="L244" s="331"/>
      <c r="M244" s="223"/>
      <c r="N244" s="223"/>
      <c r="O244" s="223"/>
      <c r="P244" s="223"/>
      <c r="Q244" s="223"/>
      <c r="R244" s="223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23"/>
      <c r="AC244" s="275"/>
      <c r="AD244" s="275"/>
      <c r="AE244" s="275"/>
      <c r="AF244" s="275"/>
      <c r="AG244" s="275"/>
      <c r="AH244" s="275"/>
      <c r="AI244" s="275"/>
    </row>
    <row r="245" spans="1:35" ht="15">
      <c r="A245" s="209"/>
      <c r="B245" s="223"/>
      <c r="C245" s="275"/>
      <c r="D245" s="275"/>
      <c r="E245" s="275"/>
      <c r="F245" s="331"/>
      <c r="G245" s="331"/>
      <c r="H245" s="331"/>
      <c r="I245" s="332"/>
      <c r="J245" s="331"/>
      <c r="K245" s="331"/>
      <c r="L245" s="331"/>
      <c r="M245" s="223"/>
      <c r="N245" s="223"/>
      <c r="O245" s="223"/>
      <c r="P245" s="223"/>
      <c r="Q245" s="223"/>
      <c r="R245" s="223"/>
      <c r="S245" s="275"/>
      <c r="T245" s="275"/>
      <c r="U245" s="275"/>
      <c r="V245" s="275"/>
      <c r="W245" s="275"/>
      <c r="X245" s="275"/>
      <c r="Y245" s="275"/>
      <c r="Z245" s="275"/>
      <c r="AA245" s="275"/>
      <c r="AB245" s="223"/>
      <c r="AC245" s="275"/>
      <c r="AD245" s="275"/>
      <c r="AE245" s="275"/>
      <c r="AF245" s="275"/>
      <c r="AG245" s="275"/>
      <c r="AH245" s="275"/>
      <c r="AI245" s="275"/>
    </row>
    <row r="246" spans="1:35" ht="15">
      <c r="A246" s="209"/>
      <c r="B246" s="223"/>
      <c r="C246" s="275"/>
      <c r="D246" s="275"/>
      <c r="E246" s="275"/>
      <c r="F246" s="331"/>
      <c r="G246" s="331"/>
      <c r="H246" s="331"/>
      <c r="I246" s="332"/>
      <c r="J246" s="331"/>
      <c r="K246" s="331"/>
      <c r="L246" s="331"/>
      <c r="M246" s="223"/>
      <c r="N246" s="223"/>
      <c r="O246" s="223"/>
      <c r="P246" s="223"/>
      <c r="Q246" s="223"/>
      <c r="R246" s="223"/>
      <c r="S246" s="275"/>
      <c r="T246" s="275"/>
      <c r="U246" s="275"/>
      <c r="V246" s="275"/>
      <c r="W246" s="275"/>
      <c r="X246" s="275"/>
      <c r="Y246" s="275"/>
      <c r="Z246" s="275"/>
      <c r="AA246" s="275"/>
      <c r="AB246" s="223"/>
      <c r="AC246" s="275"/>
      <c r="AD246" s="275"/>
      <c r="AE246" s="275"/>
      <c r="AF246" s="275"/>
      <c r="AG246" s="275"/>
      <c r="AH246" s="275"/>
      <c r="AI246" s="275"/>
    </row>
    <row r="247" spans="1:35" ht="15">
      <c r="A247" s="209"/>
      <c r="B247" s="223"/>
      <c r="C247" s="275"/>
      <c r="D247" s="275"/>
      <c r="E247" s="275"/>
      <c r="F247" s="331"/>
      <c r="G247" s="331"/>
      <c r="H247" s="331"/>
      <c r="I247" s="332"/>
      <c r="J247" s="331"/>
      <c r="K247" s="331"/>
      <c r="L247" s="331"/>
      <c r="M247" s="223"/>
      <c r="N247" s="223"/>
      <c r="O247" s="223"/>
      <c r="P247" s="223"/>
      <c r="Q247" s="223"/>
      <c r="R247" s="223"/>
      <c r="S247" s="275"/>
      <c r="T247" s="275"/>
      <c r="U247" s="275"/>
      <c r="V247" s="275"/>
      <c r="W247" s="275"/>
      <c r="X247" s="275"/>
      <c r="Y247" s="275"/>
      <c r="Z247" s="275"/>
      <c r="AA247" s="275"/>
      <c r="AB247" s="223"/>
      <c r="AC247" s="275"/>
      <c r="AD247" s="275"/>
      <c r="AE247" s="275"/>
      <c r="AF247" s="275"/>
      <c r="AG247" s="275"/>
      <c r="AH247" s="275"/>
      <c r="AI247" s="275"/>
    </row>
    <row r="248" spans="1:35" ht="15">
      <c r="A248" s="209"/>
      <c r="B248" s="223"/>
      <c r="C248" s="275"/>
      <c r="D248" s="275"/>
      <c r="E248" s="275"/>
      <c r="F248" s="331"/>
      <c r="G248" s="331"/>
      <c r="H248" s="331"/>
      <c r="I248" s="332"/>
      <c r="J248" s="331"/>
      <c r="K248" s="331"/>
      <c r="L248" s="331"/>
      <c r="M248" s="223"/>
      <c r="N248" s="223"/>
      <c r="O248" s="223"/>
      <c r="P248" s="223"/>
      <c r="Q248" s="223"/>
      <c r="R248" s="223"/>
      <c r="S248" s="275"/>
      <c r="T248" s="275"/>
      <c r="U248" s="275"/>
      <c r="V248" s="275"/>
      <c r="W248" s="275"/>
      <c r="X248" s="275"/>
      <c r="Y248" s="275"/>
      <c r="Z248" s="275"/>
      <c r="AA248" s="275"/>
      <c r="AB248" s="223"/>
      <c r="AC248" s="275"/>
      <c r="AD248" s="275"/>
      <c r="AE248" s="275"/>
      <c r="AF248" s="275"/>
      <c r="AG248" s="275"/>
      <c r="AH248" s="275"/>
      <c r="AI248" s="275"/>
    </row>
    <row r="249" spans="1:35" ht="15">
      <c r="A249" s="209"/>
      <c r="B249" s="223"/>
      <c r="C249" s="275"/>
      <c r="D249" s="275"/>
      <c r="E249" s="275"/>
      <c r="F249" s="331"/>
      <c r="G249" s="331"/>
      <c r="H249" s="331"/>
      <c r="I249" s="332"/>
      <c r="J249" s="331"/>
      <c r="K249" s="331"/>
      <c r="L249" s="331"/>
      <c r="M249" s="223"/>
      <c r="N249" s="223"/>
      <c r="O249" s="223"/>
      <c r="P249" s="223"/>
      <c r="Q249" s="223"/>
      <c r="R249" s="223"/>
      <c r="S249" s="275"/>
      <c r="T249" s="275"/>
      <c r="U249" s="275"/>
      <c r="V249" s="275"/>
      <c r="W249" s="275"/>
      <c r="X249" s="275"/>
      <c r="Y249" s="275"/>
      <c r="Z249" s="275"/>
      <c r="AA249" s="275"/>
      <c r="AB249" s="223"/>
      <c r="AC249" s="275"/>
      <c r="AD249" s="275"/>
      <c r="AE249" s="275"/>
      <c r="AF249" s="275"/>
      <c r="AG249" s="275"/>
      <c r="AH249" s="275"/>
      <c r="AI249" s="275"/>
    </row>
    <row r="250" spans="1:35" ht="15">
      <c r="A250" s="209"/>
      <c r="B250" s="223"/>
      <c r="C250" s="275"/>
      <c r="D250" s="275"/>
      <c r="E250" s="275"/>
      <c r="F250" s="331"/>
      <c r="G250" s="331"/>
      <c r="H250" s="331"/>
      <c r="I250" s="332"/>
      <c r="J250" s="331"/>
      <c r="K250" s="331"/>
      <c r="L250" s="331"/>
      <c r="M250" s="223"/>
      <c r="N250" s="223"/>
      <c r="O250" s="223"/>
      <c r="P250" s="223"/>
      <c r="Q250" s="223"/>
      <c r="R250" s="223"/>
      <c r="S250" s="275"/>
      <c r="T250" s="275"/>
      <c r="U250" s="275"/>
      <c r="V250" s="275"/>
      <c r="W250" s="275"/>
      <c r="X250" s="275"/>
      <c r="Y250" s="275"/>
      <c r="Z250" s="275"/>
      <c r="AA250" s="275"/>
      <c r="AB250" s="223"/>
      <c r="AC250" s="275"/>
      <c r="AD250" s="275"/>
      <c r="AE250" s="275"/>
      <c r="AF250" s="275"/>
      <c r="AG250" s="275"/>
      <c r="AH250" s="275"/>
      <c r="AI250" s="275"/>
    </row>
    <row r="251" spans="1:35" ht="15">
      <c r="A251" s="209"/>
      <c r="B251" s="223"/>
      <c r="C251" s="275"/>
      <c r="D251" s="275"/>
      <c r="E251" s="275"/>
      <c r="F251" s="331"/>
      <c r="G251" s="331"/>
      <c r="H251" s="331"/>
      <c r="I251" s="332"/>
      <c r="J251" s="331"/>
      <c r="K251" s="331"/>
      <c r="L251" s="331"/>
      <c r="M251" s="223"/>
      <c r="N251" s="223"/>
      <c r="O251" s="223"/>
      <c r="P251" s="223"/>
      <c r="Q251" s="223"/>
      <c r="R251" s="223"/>
      <c r="S251" s="275"/>
      <c r="T251" s="275"/>
      <c r="U251" s="275"/>
      <c r="V251" s="275"/>
      <c r="W251" s="275"/>
      <c r="X251" s="275"/>
      <c r="Y251" s="275"/>
      <c r="Z251" s="275"/>
      <c r="AA251" s="275"/>
      <c r="AB251" s="223"/>
      <c r="AC251" s="275"/>
      <c r="AD251" s="275"/>
      <c r="AE251" s="275"/>
      <c r="AF251" s="275"/>
      <c r="AG251" s="275"/>
      <c r="AH251" s="275"/>
      <c r="AI251" s="275"/>
    </row>
    <row r="252" spans="1:35" ht="15">
      <c r="A252" s="209"/>
      <c r="B252" s="223"/>
      <c r="C252" s="275"/>
      <c r="D252" s="275"/>
      <c r="E252" s="275"/>
      <c r="F252" s="331"/>
      <c r="G252" s="331"/>
      <c r="H252" s="331"/>
      <c r="I252" s="332"/>
      <c r="J252" s="331"/>
      <c r="K252" s="331"/>
      <c r="L252" s="331"/>
      <c r="M252" s="223"/>
      <c r="N252" s="223"/>
      <c r="O252" s="223"/>
      <c r="P252" s="223"/>
      <c r="Q252" s="223"/>
      <c r="R252" s="223"/>
      <c r="S252" s="275"/>
      <c r="T252" s="275"/>
      <c r="U252" s="275"/>
      <c r="V252" s="275"/>
      <c r="W252" s="275"/>
      <c r="X252" s="275"/>
      <c r="Y252" s="275"/>
      <c r="Z252" s="275"/>
      <c r="AA252" s="275"/>
      <c r="AB252" s="223"/>
      <c r="AC252" s="275"/>
      <c r="AD252" s="275"/>
      <c r="AE252" s="275"/>
      <c r="AF252" s="275"/>
      <c r="AG252" s="275"/>
      <c r="AH252" s="275"/>
      <c r="AI252" s="275"/>
    </row>
    <row r="253" spans="1:35" ht="15">
      <c r="A253" s="209"/>
      <c r="B253" s="223"/>
      <c r="C253" s="275"/>
      <c r="D253" s="275"/>
      <c r="E253" s="275"/>
      <c r="F253" s="331"/>
      <c r="G253" s="331"/>
      <c r="H253" s="331"/>
      <c r="I253" s="332"/>
      <c r="J253" s="331"/>
      <c r="K253" s="331"/>
      <c r="L253" s="331"/>
      <c r="M253" s="223"/>
      <c r="N253" s="223"/>
      <c r="O253" s="223"/>
      <c r="P253" s="223"/>
      <c r="Q253" s="223"/>
      <c r="R253" s="223"/>
      <c r="S253" s="275"/>
      <c r="T253" s="275"/>
      <c r="U253" s="275"/>
      <c r="V253" s="275"/>
      <c r="W253" s="275"/>
      <c r="X253" s="275"/>
      <c r="Y253" s="275"/>
      <c r="Z253" s="275"/>
      <c r="AA253" s="275"/>
      <c r="AB253" s="223"/>
      <c r="AC253" s="275"/>
      <c r="AD253" s="275"/>
      <c r="AE253" s="275"/>
      <c r="AF253" s="275"/>
      <c r="AG253" s="275"/>
      <c r="AH253" s="275"/>
      <c r="AI253" s="275"/>
    </row>
    <row r="254" spans="1:35" ht="15">
      <c r="A254" s="209"/>
      <c r="B254" s="223"/>
      <c r="C254" s="275"/>
      <c r="D254" s="275"/>
      <c r="E254" s="275"/>
      <c r="F254" s="331"/>
      <c r="G254" s="331"/>
      <c r="H254" s="331"/>
      <c r="I254" s="332"/>
      <c r="J254" s="331"/>
      <c r="K254" s="331"/>
      <c r="L254" s="331"/>
      <c r="M254" s="223"/>
      <c r="N254" s="223"/>
      <c r="O254" s="223"/>
      <c r="P254" s="223"/>
      <c r="Q254" s="223"/>
      <c r="R254" s="223"/>
      <c r="S254" s="275"/>
      <c r="T254" s="275"/>
      <c r="U254" s="275"/>
      <c r="V254" s="275"/>
      <c r="W254" s="275"/>
      <c r="X254" s="275"/>
      <c r="Y254" s="275"/>
      <c r="Z254" s="275"/>
      <c r="AA254" s="275"/>
      <c r="AB254" s="223"/>
      <c r="AC254" s="275"/>
      <c r="AD254" s="275"/>
      <c r="AE254" s="275"/>
      <c r="AF254" s="275"/>
      <c r="AG254" s="275"/>
      <c r="AH254" s="275"/>
      <c r="AI254" s="275"/>
    </row>
    <row r="255" spans="1:35" ht="15">
      <c r="A255" s="209"/>
      <c r="B255" s="223"/>
      <c r="C255" s="275"/>
      <c r="D255" s="275"/>
      <c r="E255" s="275"/>
      <c r="F255" s="331"/>
      <c r="G255" s="331"/>
      <c r="H255" s="331"/>
      <c r="I255" s="332"/>
      <c r="J255" s="331"/>
      <c r="K255" s="331"/>
      <c r="L255" s="331"/>
      <c r="M255" s="223"/>
      <c r="N255" s="223"/>
      <c r="O255" s="223"/>
      <c r="P255" s="223"/>
      <c r="Q255" s="223"/>
      <c r="R255" s="223"/>
      <c r="S255" s="275"/>
      <c r="T255" s="275"/>
      <c r="U255" s="275"/>
      <c r="V255" s="275"/>
      <c r="W255" s="275"/>
      <c r="X255" s="275"/>
      <c r="Y255" s="275"/>
      <c r="Z255" s="275"/>
      <c r="AA255" s="275"/>
      <c r="AB255" s="223"/>
      <c r="AC255" s="275"/>
      <c r="AD255" s="275"/>
      <c r="AE255" s="275"/>
      <c r="AF255" s="275"/>
      <c r="AG255" s="275"/>
      <c r="AH255" s="275"/>
      <c r="AI255" s="275"/>
    </row>
    <row r="256" spans="1:35" ht="15">
      <c r="A256" s="209"/>
      <c r="B256" s="223"/>
      <c r="C256" s="275"/>
      <c r="D256" s="275"/>
      <c r="E256" s="275"/>
      <c r="F256" s="331"/>
      <c r="G256" s="331"/>
      <c r="H256" s="331"/>
      <c r="I256" s="332"/>
      <c r="J256" s="331"/>
      <c r="K256" s="331"/>
      <c r="L256" s="331"/>
      <c r="M256" s="223"/>
      <c r="N256" s="223"/>
      <c r="O256" s="223"/>
      <c r="P256" s="223"/>
      <c r="Q256" s="223"/>
      <c r="R256" s="223"/>
      <c r="S256" s="275"/>
      <c r="T256" s="275"/>
      <c r="U256" s="275"/>
      <c r="V256" s="275"/>
      <c r="W256" s="275"/>
      <c r="X256" s="275"/>
      <c r="Y256" s="275"/>
      <c r="Z256" s="275"/>
      <c r="AA256" s="275"/>
      <c r="AB256" s="223"/>
      <c r="AC256" s="275"/>
      <c r="AD256" s="275"/>
      <c r="AE256" s="275"/>
      <c r="AF256" s="275"/>
      <c r="AG256" s="275"/>
      <c r="AH256" s="275"/>
      <c r="AI256" s="275"/>
    </row>
    <row r="257" spans="1:35" ht="15">
      <c r="A257" s="209"/>
      <c r="B257" s="223"/>
      <c r="C257" s="275"/>
      <c r="D257" s="275"/>
      <c r="E257" s="275"/>
      <c r="F257" s="331"/>
      <c r="G257" s="331"/>
      <c r="H257" s="331"/>
      <c r="I257" s="332"/>
      <c r="J257" s="331"/>
      <c r="K257" s="331"/>
      <c r="L257" s="331"/>
      <c r="M257" s="223"/>
      <c r="N257" s="223"/>
      <c r="O257" s="223"/>
      <c r="P257" s="223"/>
      <c r="Q257" s="223"/>
      <c r="R257" s="223"/>
      <c r="S257" s="275"/>
      <c r="T257" s="275"/>
      <c r="U257" s="275"/>
      <c r="V257" s="275"/>
      <c r="W257" s="275"/>
      <c r="X257" s="275"/>
      <c r="Y257" s="275"/>
      <c r="Z257" s="275"/>
      <c r="AA257" s="275"/>
      <c r="AB257" s="223"/>
      <c r="AC257" s="275"/>
      <c r="AD257" s="275"/>
      <c r="AE257" s="275"/>
      <c r="AF257" s="275"/>
      <c r="AG257" s="275"/>
      <c r="AH257" s="275"/>
      <c r="AI257" s="275"/>
    </row>
    <row r="258" spans="1:35" ht="15">
      <c r="A258" s="209"/>
      <c r="B258" s="223"/>
      <c r="C258" s="275"/>
      <c r="D258" s="275"/>
      <c r="E258" s="275"/>
      <c r="F258" s="331"/>
      <c r="G258" s="331"/>
      <c r="H258" s="331"/>
      <c r="I258" s="332"/>
      <c r="J258" s="331"/>
      <c r="K258" s="331"/>
      <c r="L258" s="331"/>
      <c r="M258" s="223"/>
      <c r="N258" s="223"/>
      <c r="O258" s="223"/>
      <c r="P258" s="223"/>
      <c r="Q258" s="223"/>
      <c r="R258" s="223"/>
      <c r="S258" s="275"/>
      <c r="T258" s="275"/>
      <c r="U258" s="275"/>
      <c r="V258" s="275"/>
      <c r="W258" s="275"/>
      <c r="X258" s="275"/>
      <c r="Y258" s="275"/>
      <c r="Z258" s="275"/>
      <c r="AA258" s="275"/>
      <c r="AB258" s="223"/>
      <c r="AC258" s="275"/>
      <c r="AD258" s="275"/>
      <c r="AE258" s="275"/>
      <c r="AF258" s="275"/>
      <c r="AG258" s="275"/>
      <c r="AH258" s="275"/>
      <c r="AI258" s="275"/>
    </row>
    <row r="259" spans="1:35" ht="15">
      <c r="A259" s="209"/>
      <c r="B259" s="223"/>
      <c r="C259" s="275"/>
      <c r="D259" s="275"/>
      <c r="E259" s="275"/>
      <c r="F259" s="331"/>
      <c r="G259" s="331"/>
      <c r="H259" s="331"/>
      <c r="I259" s="332"/>
      <c r="J259" s="331"/>
      <c r="K259" s="331"/>
      <c r="L259" s="331"/>
      <c r="M259" s="223"/>
      <c r="N259" s="223"/>
      <c r="O259" s="223"/>
      <c r="P259" s="223"/>
      <c r="Q259" s="223"/>
      <c r="R259" s="223"/>
      <c r="S259" s="275"/>
      <c r="T259" s="275"/>
      <c r="U259" s="275"/>
      <c r="V259" s="275"/>
      <c r="W259" s="275"/>
      <c r="X259" s="275"/>
      <c r="Y259" s="275"/>
      <c r="Z259" s="275"/>
      <c r="AA259" s="275"/>
      <c r="AB259" s="223"/>
      <c r="AC259" s="275"/>
      <c r="AD259" s="275"/>
      <c r="AE259" s="275"/>
      <c r="AF259" s="275"/>
      <c r="AG259" s="275"/>
      <c r="AH259" s="275"/>
      <c r="AI259" s="275"/>
    </row>
    <row r="260" spans="1:35" ht="15">
      <c r="A260" s="209"/>
      <c r="B260" s="223"/>
      <c r="C260" s="275"/>
      <c r="D260" s="275"/>
      <c r="E260" s="275"/>
      <c r="F260" s="331"/>
      <c r="G260" s="331"/>
      <c r="H260" s="331"/>
      <c r="I260" s="332"/>
      <c r="J260" s="331"/>
      <c r="K260" s="331"/>
      <c r="L260" s="331"/>
      <c r="M260" s="223"/>
      <c r="N260" s="223"/>
      <c r="O260" s="223"/>
      <c r="P260" s="223"/>
      <c r="Q260" s="223"/>
      <c r="R260" s="223"/>
      <c r="S260" s="275"/>
      <c r="T260" s="275"/>
      <c r="U260" s="275"/>
      <c r="V260" s="275"/>
      <c r="W260" s="275"/>
      <c r="X260" s="275"/>
      <c r="Y260" s="275"/>
      <c r="Z260" s="275"/>
      <c r="AA260" s="275"/>
      <c r="AB260" s="223"/>
      <c r="AC260" s="275"/>
      <c r="AD260" s="275"/>
      <c r="AE260" s="275"/>
      <c r="AF260" s="275"/>
      <c r="AG260" s="275"/>
      <c r="AH260" s="275"/>
      <c r="AI260" s="275"/>
    </row>
    <row r="261" spans="1:35" ht="15">
      <c r="A261" s="209"/>
      <c r="B261" s="223"/>
      <c r="C261" s="275"/>
      <c r="D261" s="275"/>
      <c r="E261" s="275"/>
      <c r="F261" s="331"/>
      <c r="G261" s="331"/>
      <c r="H261" s="331"/>
      <c r="I261" s="332"/>
      <c r="J261" s="331"/>
      <c r="K261" s="331"/>
      <c r="L261" s="331"/>
      <c r="M261" s="223"/>
      <c r="N261" s="223"/>
      <c r="O261" s="223"/>
      <c r="P261" s="223"/>
      <c r="Q261" s="223"/>
      <c r="R261" s="223"/>
      <c r="S261" s="275"/>
      <c r="T261" s="275"/>
      <c r="U261" s="275"/>
      <c r="V261" s="275"/>
      <c r="W261" s="275"/>
      <c r="X261" s="275"/>
      <c r="Y261" s="275"/>
      <c r="Z261" s="275"/>
      <c r="AA261" s="275"/>
      <c r="AB261" s="223"/>
      <c r="AC261" s="275"/>
      <c r="AD261" s="275"/>
      <c r="AE261" s="275"/>
      <c r="AF261" s="275"/>
      <c r="AG261" s="275"/>
      <c r="AH261" s="275"/>
      <c r="AI261" s="275"/>
    </row>
    <row r="262" spans="1:35" ht="15">
      <c r="A262" s="209"/>
      <c r="B262" s="223"/>
      <c r="C262" s="275"/>
      <c r="D262" s="275"/>
      <c r="E262" s="275"/>
      <c r="F262" s="331"/>
      <c r="G262" s="331"/>
      <c r="H262" s="331"/>
      <c r="I262" s="332"/>
      <c r="J262" s="331"/>
      <c r="K262" s="331"/>
      <c r="L262" s="331"/>
      <c r="M262" s="223"/>
      <c r="N262" s="223"/>
      <c r="O262" s="223"/>
      <c r="P262" s="223"/>
      <c r="Q262" s="223"/>
      <c r="R262" s="223"/>
      <c r="S262" s="275"/>
      <c r="T262" s="275"/>
      <c r="U262" s="275"/>
      <c r="V262" s="275"/>
      <c r="W262" s="275"/>
      <c r="X262" s="275"/>
      <c r="Y262" s="275"/>
      <c r="Z262" s="275"/>
      <c r="AA262" s="275"/>
      <c r="AB262" s="223"/>
      <c r="AC262" s="275"/>
      <c r="AD262" s="275"/>
      <c r="AE262" s="275"/>
      <c r="AF262" s="275"/>
      <c r="AG262" s="275"/>
      <c r="AH262" s="275"/>
      <c r="AI262" s="275"/>
    </row>
    <row r="263" spans="1:35" ht="15">
      <c r="A263" s="209"/>
      <c r="B263" s="223"/>
      <c r="C263" s="275"/>
      <c r="D263" s="275"/>
      <c r="E263" s="275"/>
      <c r="F263" s="331"/>
      <c r="G263" s="331"/>
      <c r="H263" s="331"/>
      <c r="I263" s="332"/>
      <c r="J263" s="331"/>
      <c r="K263" s="331"/>
      <c r="L263" s="331"/>
      <c r="M263" s="223"/>
      <c r="N263" s="223"/>
      <c r="O263" s="223"/>
      <c r="P263" s="223"/>
      <c r="Q263" s="223"/>
      <c r="R263" s="223"/>
      <c r="S263" s="275"/>
      <c r="T263" s="275"/>
      <c r="U263" s="275"/>
      <c r="V263" s="275"/>
      <c r="W263" s="275"/>
      <c r="X263" s="275"/>
      <c r="Y263" s="275"/>
      <c r="Z263" s="275"/>
      <c r="AA263" s="275"/>
      <c r="AB263" s="223"/>
      <c r="AC263" s="275"/>
      <c r="AD263" s="275"/>
      <c r="AE263" s="275"/>
      <c r="AF263" s="275"/>
      <c r="AG263" s="275"/>
      <c r="AH263" s="275"/>
      <c r="AI263" s="275"/>
    </row>
    <row r="264" spans="1:35" ht="15">
      <c r="A264" s="209"/>
      <c r="B264" s="223"/>
      <c r="C264" s="275"/>
      <c r="D264" s="275"/>
      <c r="E264" s="275"/>
      <c r="F264" s="331"/>
      <c r="G264" s="331"/>
      <c r="H264" s="331"/>
      <c r="I264" s="332"/>
      <c r="J264" s="331"/>
      <c r="K264" s="331"/>
      <c r="L264" s="331"/>
      <c r="M264" s="223"/>
      <c r="N264" s="223"/>
      <c r="O264" s="223"/>
      <c r="P264" s="223"/>
      <c r="Q264" s="223"/>
      <c r="R264" s="223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23"/>
      <c r="AC264" s="275"/>
      <c r="AD264" s="275"/>
      <c r="AE264" s="275"/>
      <c r="AF264" s="275"/>
      <c r="AG264" s="275"/>
      <c r="AH264" s="275"/>
      <c r="AI264" s="275"/>
    </row>
    <row r="265" spans="1:35" ht="15">
      <c r="A265" s="209"/>
      <c r="B265" s="223"/>
      <c r="C265" s="275"/>
      <c r="D265" s="275"/>
      <c r="E265" s="275"/>
      <c r="F265" s="331"/>
      <c r="G265" s="331"/>
      <c r="H265" s="331"/>
      <c r="I265" s="332"/>
      <c r="J265" s="331"/>
      <c r="K265" s="331"/>
      <c r="L265" s="331"/>
      <c r="M265" s="223"/>
      <c r="N265" s="223"/>
      <c r="O265" s="223"/>
      <c r="P265" s="223"/>
      <c r="Q265" s="223"/>
      <c r="R265" s="223"/>
      <c r="S265" s="275"/>
      <c r="T265" s="275"/>
      <c r="U265" s="275"/>
      <c r="V265" s="275"/>
      <c r="W265" s="275"/>
      <c r="X265" s="275"/>
      <c r="Y265" s="275"/>
      <c r="Z265" s="275"/>
      <c r="AA265" s="275"/>
      <c r="AB265" s="223"/>
      <c r="AC265" s="275"/>
      <c r="AD265" s="275"/>
      <c r="AE265" s="275"/>
      <c r="AF265" s="275"/>
      <c r="AG265" s="275"/>
      <c r="AH265" s="275"/>
      <c r="AI265" s="275"/>
    </row>
    <row r="266" spans="1:35" ht="15">
      <c r="A266" s="209"/>
      <c r="B266" s="223"/>
      <c r="C266" s="275"/>
      <c r="D266" s="275"/>
      <c r="E266" s="275"/>
      <c r="F266" s="331"/>
      <c r="G266" s="331"/>
      <c r="H266" s="331"/>
      <c r="I266" s="332"/>
      <c r="J266" s="331"/>
      <c r="K266" s="331"/>
      <c r="L266" s="331"/>
      <c r="M266" s="223"/>
      <c r="N266" s="223"/>
      <c r="O266" s="223"/>
      <c r="P266" s="223"/>
      <c r="Q266" s="223"/>
      <c r="R266" s="223"/>
      <c r="S266" s="275"/>
      <c r="T266" s="275"/>
      <c r="U266" s="275"/>
      <c r="V266" s="275"/>
      <c r="W266" s="275"/>
      <c r="X266" s="275"/>
      <c r="Y266" s="275"/>
      <c r="Z266" s="275"/>
      <c r="AA266" s="275"/>
      <c r="AB266" s="223"/>
      <c r="AC266" s="275"/>
      <c r="AD266" s="275"/>
      <c r="AE266" s="275"/>
      <c r="AF266" s="275"/>
      <c r="AG266" s="275"/>
      <c r="AH266" s="275"/>
      <c r="AI266" s="275"/>
    </row>
    <row r="267" spans="1:35" ht="15">
      <c r="A267" s="209"/>
      <c r="B267" s="223"/>
      <c r="C267" s="275"/>
      <c r="D267" s="275"/>
      <c r="E267" s="275"/>
      <c r="F267" s="331"/>
      <c r="G267" s="331"/>
      <c r="H267" s="331"/>
      <c r="I267" s="332"/>
      <c r="J267" s="331"/>
      <c r="K267" s="331"/>
      <c r="L267" s="331"/>
      <c r="M267" s="223"/>
      <c r="N267" s="223"/>
      <c r="O267" s="223"/>
      <c r="P267" s="223"/>
      <c r="Q267" s="223"/>
      <c r="R267" s="223"/>
      <c r="S267" s="275"/>
      <c r="T267" s="275"/>
      <c r="U267" s="275"/>
      <c r="V267" s="275"/>
      <c r="W267" s="275"/>
      <c r="X267" s="275"/>
      <c r="Y267" s="275"/>
      <c r="Z267" s="275"/>
      <c r="AA267" s="275"/>
      <c r="AB267" s="223"/>
      <c r="AC267" s="275"/>
      <c r="AD267" s="275"/>
      <c r="AE267" s="275"/>
      <c r="AF267" s="275"/>
      <c r="AG267" s="275"/>
      <c r="AH267" s="275"/>
      <c r="AI267" s="275"/>
    </row>
    <row r="268" spans="1:35" ht="15">
      <c r="A268" s="209"/>
      <c r="B268" s="223"/>
      <c r="C268" s="275"/>
      <c r="D268" s="275"/>
      <c r="E268" s="275"/>
      <c r="F268" s="331"/>
      <c r="G268" s="331"/>
      <c r="H268" s="331"/>
      <c r="I268" s="332"/>
      <c r="J268" s="331"/>
      <c r="K268" s="331"/>
      <c r="L268" s="331"/>
      <c r="M268" s="223"/>
      <c r="N268" s="223"/>
      <c r="O268" s="223"/>
      <c r="P268" s="223"/>
      <c r="Q268" s="223"/>
      <c r="R268" s="223"/>
      <c r="S268" s="275"/>
      <c r="T268" s="275"/>
      <c r="U268" s="275"/>
      <c r="V268" s="275"/>
      <c r="W268" s="275"/>
      <c r="X268" s="275"/>
      <c r="Y268" s="275"/>
      <c r="Z268" s="275"/>
      <c r="AA268" s="275"/>
      <c r="AB268" s="223"/>
      <c r="AC268" s="275"/>
      <c r="AD268" s="275"/>
      <c r="AE268" s="275"/>
      <c r="AF268" s="275"/>
      <c r="AG268" s="275"/>
      <c r="AH268" s="275"/>
      <c r="AI268" s="275"/>
    </row>
    <row r="269" spans="1:35" ht="15">
      <c r="A269" s="209"/>
      <c r="B269" s="223"/>
      <c r="C269" s="275"/>
      <c r="D269" s="275"/>
      <c r="E269" s="275"/>
      <c r="F269" s="331"/>
      <c r="G269" s="331"/>
      <c r="H269" s="331"/>
      <c r="I269" s="332"/>
      <c r="J269" s="331"/>
      <c r="K269" s="331"/>
      <c r="L269" s="331"/>
      <c r="M269" s="223"/>
      <c r="N269" s="223"/>
      <c r="O269" s="223"/>
      <c r="P269" s="223"/>
      <c r="Q269" s="223"/>
      <c r="R269" s="223"/>
      <c r="S269" s="275"/>
      <c r="T269" s="275"/>
      <c r="U269" s="275"/>
      <c r="V269" s="275"/>
      <c r="W269" s="275"/>
      <c r="X269" s="275"/>
      <c r="Y269" s="275"/>
      <c r="Z269" s="275"/>
      <c r="AA269" s="275"/>
      <c r="AB269" s="223"/>
      <c r="AC269" s="275"/>
      <c r="AD269" s="275"/>
      <c r="AE269" s="275"/>
      <c r="AF269" s="275"/>
      <c r="AG269" s="275"/>
      <c r="AH269" s="275"/>
      <c r="AI269" s="275"/>
    </row>
    <row r="270" spans="1:35" ht="15">
      <c r="A270" s="209"/>
      <c r="B270" s="223"/>
      <c r="C270" s="275"/>
      <c r="D270" s="275"/>
      <c r="E270" s="275"/>
      <c r="F270" s="331"/>
      <c r="G270" s="331"/>
      <c r="H270" s="331"/>
      <c r="I270" s="332"/>
      <c r="J270" s="331"/>
      <c r="K270" s="331"/>
      <c r="L270" s="331"/>
      <c r="M270" s="223"/>
      <c r="N270" s="223"/>
      <c r="O270" s="223"/>
      <c r="P270" s="223"/>
      <c r="Q270" s="223"/>
      <c r="R270" s="223"/>
      <c r="S270" s="275"/>
      <c r="T270" s="275"/>
      <c r="U270" s="275"/>
      <c r="V270" s="275"/>
      <c r="W270" s="275"/>
      <c r="X270" s="275"/>
      <c r="Y270" s="275"/>
      <c r="Z270" s="275"/>
      <c r="AA270" s="275"/>
      <c r="AB270" s="223"/>
      <c r="AC270" s="275"/>
      <c r="AD270" s="275"/>
      <c r="AE270" s="275"/>
      <c r="AF270" s="275"/>
      <c r="AG270" s="275"/>
      <c r="AH270" s="275"/>
      <c r="AI270" s="275"/>
    </row>
    <row r="271" spans="1:35" ht="15">
      <c r="A271" s="209"/>
      <c r="B271" s="223"/>
      <c r="C271" s="275"/>
      <c r="D271" s="275"/>
      <c r="E271" s="275"/>
      <c r="F271" s="331"/>
      <c r="G271" s="331"/>
      <c r="H271" s="331"/>
      <c r="I271" s="332"/>
      <c r="J271" s="331"/>
      <c r="K271" s="331"/>
      <c r="L271" s="331"/>
      <c r="M271" s="223"/>
      <c r="N271" s="223"/>
      <c r="O271" s="223"/>
      <c r="P271" s="223"/>
      <c r="Q271" s="223"/>
      <c r="R271" s="223"/>
      <c r="S271" s="275"/>
      <c r="T271" s="275"/>
      <c r="U271" s="275"/>
      <c r="V271" s="275"/>
      <c r="W271" s="275"/>
      <c r="X271" s="275"/>
      <c r="Y271" s="275"/>
      <c r="Z271" s="275"/>
      <c r="AA271" s="275"/>
      <c r="AB271" s="223"/>
      <c r="AC271" s="275"/>
      <c r="AD271" s="275"/>
      <c r="AE271" s="275"/>
      <c r="AF271" s="275"/>
      <c r="AG271" s="275"/>
      <c r="AH271" s="275"/>
      <c r="AI271" s="275"/>
    </row>
    <row r="272" spans="1:35" ht="15">
      <c r="A272" s="209"/>
      <c r="B272" s="223"/>
      <c r="C272" s="275"/>
      <c r="D272" s="275"/>
      <c r="E272" s="275"/>
      <c r="F272" s="331"/>
      <c r="G272" s="331"/>
      <c r="H272" s="331"/>
      <c r="I272" s="332"/>
      <c r="J272" s="331"/>
      <c r="K272" s="331"/>
      <c r="L272" s="331"/>
      <c r="M272" s="223"/>
      <c r="N272" s="223"/>
      <c r="O272" s="223"/>
      <c r="P272" s="223"/>
      <c r="Q272" s="223"/>
      <c r="R272" s="223"/>
      <c r="S272" s="275"/>
      <c r="T272" s="275"/>
      <c r="U272" s="275"/>
      <c r="V272" s="275"/>
      <c r="W272" s="275"/>
      <c r="X272" s="275"/>
      <c r="Y272" s="275"/>
      <c r="Z272" s="275"/>
      <c r="AA272" s="275"/>
      <c r="AB272" s="223"/>
      <c r="AC272" s="275"/>
      <c r="AD272" s="275"/>
      <c r="AE272" s="275"/>
      <c r="AF272" s="275"/>
      <c r="AG272" s="275"/>
      <c r="AH272" s="275"/>
      <c r="AI272" s="275"/>
    </row>
    <row r="273" spans="1:35" ht="15">
      <c r="A273" s="209"/>
      <c r="B273" s="223"/>
      <c r="C273" s="275"/>
      <c r="D273" s="275"/>
      <c r="E273" s="275"/>
      <c r="F273" s="331"/>
      <c r="G273" s="331"/>
      <c r="H273" s="331"/>
      <c r="I273" s="332"/>
      <c r="J273" s="331"/>
      <c r="K273" s="331"/>
      <c r="L273" s="331"/>
      <c r="M273" s="223"/>
      <c r="N273" s="223"/>
      <c r="O273" s="223"/>
      <c r="P273" s="223"/>
      <c r="Q273" s="223"/>
      <c r="R273" s="223"/>
      <c r="S273" s="275"/>
      <c r="T273" s="275"/>
      <c r="U273" s="275"/>
      <c r="V273" s="275"/>
      <c r="W273" s="275"/>
      <c r="X273" s="275"/>
      <c r="Y273" s="275"/>
      <c r="Z273" s="275"/>
      <c r="AA273" s="275"/>
      <c r="AB273" s="223"/>
      <c r="AC273" s="275"/>
      <c r="AD273" s="275"/>
      <c r="AE273" s="275"/>
      <c r="AF273" s="275"/>
      <c r="AG273" s="275"/>
      <c r="AH273" s="275"/>
      <c r="AI273" s="275"/>
    </row>
    <row r="274" spans="1:35" ht="15">
      <c r="A274" s="209"/>
      <c r="B274" s="223"/>
      <c r="C274" s="275"/>
      <c r="D274" s="275"/>
      <c r="E274" s="275"/>
      <c r="F274" s="331"/>
      <c r="G274" s="331"/>
      <c r="H274" s="331"/>
      <c r="I274" s="332"/>
      <c r="J274" s="331"/>
      <c r="K274" s="331"/>
      <c r="L274" s="331"/>
      <c r="M274" s="223"/>
      <c r="N274" s="223"/>
      <c r="O274" s="223"/>
      <c r="P274" s="223"/>
      <c r="Q274" s="223"/>
      <c r="R274" s="223"/>
      <c r="S274" s="275"/>
      <c r="T274" s="275"/>
      <c r="U274" s="275"/>
      <c r="V274" s="275"/>
      <c r="W274" s="275"/>
      <c r="X274" s="275"/>
      <c r="Y274" s="275"/>
      <c r="Z274" s="275"/>
      <c r="AA274" s="275"/>
      <c r="AB274" s="223"/>
      <c r="AC274" s="275"/>
      <c r="AD274" s="275"/>
      <c r="AE274" s="275"/>
      <c r="AF274" s="275"/>
      <c r="AG274" s="275"/>
      <c r="AH274" s="275"/>
      <c r="AI274" s="275"/>
    </row>
    <row r="275" spans="1:35" ht="15">
      <c r="A275" s="209"/>
      <c r="B275" s="223"/>
      <c r="C275" s="275"/>
      <c r="D275" s="275"/>
      <c r="E275" s="275"/>
      <c r="F275" s="331"/>
      <c r="G275" s="331"/>
      <c r="H275" s="331"/>
      <c r="I275" s="332"/>
      <c r="J275" s="331"/>
      <c r="K275" s="331"/>
      <c r="L275" s="331"/>
      <c r="M275" s="223"/>
      <c r="N275" s="223"/>
      <c r="O275" s="223"/>
      <c r="P275" s="223"/>
      <c r="Q275" s="223"/>
      <c r="R275" s="223"/>
      <c r="S275" s="275"/>
      <c r="T275" s="275"/>
      <c r="U275" s="275"/>
      <c r="V275" s="275"/>
      <c r="W275" s="275"/>
      <c r="X275" s="275"/>
      <c r="Y275" s="275"/>
      <c r="Z275" s="275"/>
      <c r="AA275" s="275"/>
      <c r="AB275" s="223"/>
      <c r="AC275" s="275"/>
      <c r="AD275" s="275"/>
      <c r="AE275" s="275"/>
      <c r="AF275" s="275"/>
      <c r="AG275" s="275"/>
      <c r="AH275" s="275"/>
      <c r="AI275" s="275"/>
    </row>
    <row r="276" spans="1:35" ht="15">
      <c r="A276" s="209"/>
      <c r="B276" s="223"/>
      <c r="C276" s="275"/>
      <c r="D276" s="275"/>
      <c r="E276" s="275"/>
      <c r="F276" s="331"/>
      <c r="G276" s="331"/>
      <c r="H276" s="331"/>
      <c r="I276" s="332"/>
      <c r="J276" s="331"/>
      <c r="K276" s="331"/>
      <c r="L276" s="331"/>
      <c r="M276" s="223"/>
      <c r="N276" s="223"/>
      <c r="O276" s="223"/>
      <c r="P276" s="223"/>
      <c r="Q276" s="223"/>
      <c r="R276" s="223"/>
      <c r="S276" s="275"/>
      <c r="T276" s="275"/>
      <c r="U276" s="275"/>
      <c r="V276" s="275"/>
      <c r="W276" s="275"/>
      <c r="X276" s="275"/>
      <c r="Y276" s="275"/>
      <c r="Z276" s="275"/>
      <c r="AA276" s="275"/>
      <c r="AB276" s="223"/>
      <c r="AC276" s="275"/>
      <c r="AD276" s="275"/>
      <c r="AE276" s="275"/>
      <c r="AF276" s="275"/>
      <c r="AG276" s="275"/>
      <c r="AH276" s="275"/>
      <c r="AI276" s="275"/>
    </row>
    <row r="277" spans="1:35" ht="15">
      <c r="A277" s="209"/>
      <c r="B277" s="223"/>
      <c r="C277" s="275"/>
      <c r="D277" s="275"/>
      <c r="E277" s="275"/>
      <c r="F277" s="331"/>
      <c r="G277" s="331"/>
      <c r="H277" s="331"/>
      <c r="I277" s="332"/>
      <c r="J277" s="331"/>
      <c r="K277" s="331"/>
      <c r="L277" s="331"/>
      <c r="M277" s="223"/>
      <c r="N277" s="223"/>
      <c r="O277" s="223"/>
      <c r="P277" s="223"/>
      <c r="Q277" s="223"/>
      <c r="R277" s="223"/>
      <c r="S277" s="275"/>
      <c r="T277" s="275"/>
      <c r="U277" s="275"/>
      <c r="V277" s="275"/>
      <c r="W277" s="275"/>
      <c r="X277" s="275"/>
      <c r="Y277" s="275"/>
      <c r="Z277" s="275"/>
      <c r="AA277" s="275"/>
      <c r="AB277" s="223"/>
      <c r="AC277" s="275"/>
      <c r="AD277" s="275"/>
      <c r="AE277" s="275"/>
      <c r="AF277" s="275"/>
      <c r="AG277" s="275"/>
      <c r="AH277" s="275"/>
      <c r="AI277" s="275"/>
    </row>
    <row r="278" spans="1:35" ht="15">
      <c r="A278" s="209"/>
      <c r="B278" s="223"/>
      <c r="C278" s="275"/>
      <c r="D278" s="275"/>
      <c r="E278" s="275"/>
      <c r="F278" s="331"/>
      <c r="G278" s="331"/>
      <c r="H278" s="331"/>
      <c r="I278" s="332"/>
      <c r="J278" s="331"/>
      <c r="K278" s="331"/>
      <c r="L278" s="331"/>
      <c r="M278" s="223"/>
      <c r="N278" s="223"/>
      <c r="O278" s="223"/>
      <c r="P278" s="223"/>
      <c r="Q278" s="223"/>
      <c r="R278" s="223"/>
      <c r="S278" s="275"/>
      <c r="T278" s="275"/>
      <c r="U278" s="275"/>
      <c r="V278" s="275"/>
      <c r="W278" s="275"/>
      <c r="X278" s="275"/>
      <c r="Y278" s="275"/>
      <c r="Z278" s="275"/>
      <c r="AA278" s="275"/>
      <c r="AB278" s="223"/>
      <c r="AC278" s="275"/>
      <c r="AD278" s="275"/>
      <c r="AE278" s="275"/>
      <c r="AF278" s="275"/>
      <c r="AG278" s="275"/>
      <c r="AH278" s="275"/>
      <c r="AI278" s="275"/>
    </row>
    <row r="279" spans="1:35" ht="15">
      <c r="A279" s="209"/>
      <c r="B279" s="223"/>
      <c r="C279" s="275"/>
      <c r="D279" s="275"/>
      <c r="E279" s="275"/>
      <c r="F279" s="331"/>
      <c r="G279" s="331"/>
      <c r="H279" s="331"/>
      <c r="I279" s="332"/>
      <c r="J279" s="331"/>
      <c r="K279" s="331"/>
      <c r="L279" s="331"/>
      <c r="M279" s="223"/>
      <c r="N279" s="223"/>
      <c r="O279" s="223"/>
      <c r="P279" s="223"/>
      <c r="Q279" s="223"/>
      <c r="R279" s="223"/>
      <c r="S279" s="275"/>
      <c r="T279" s="275"/>
      <c r="U279" s="275"/>
      <c r="V279" s="275"/>
      <c r="W279" s="275"/>
      <c r="X279" s="275"/>
      <c r="Y279" s="275"/>
      <c r="Z279" s="275"/>
      <c r="AA279" s="275"/>
      <c r="AB279" s="223"/>
      <c r="AC279" s="275"/>
      <c r="AD279" s="275"/>
      <c r="AE279" s="275"/>
      <c r="AF279" s="275"/>
      <c r="AG279" s="275"/>
      <c r="AH279" s="275"/>
      <c r="AI279" s="275"/>
    </row>
    <row r="280" spans="1:35" ht="15">
      <c r="A280" s="209"/>
      <c r="B280" s="223"/>
      <c r="C280" s="275"/>
      <c r="D280" s="275"/>
      <c r="E280" s="275"/>
      <c r="F280" s="331"/>
      <c r="G280" s="331"/>
      <c r="H280" s="331"/>
      <c r="I280" s="332"/>
      <c r="J280" s="331"/>
      <c r="K280" s="331"/>
      <c r="L280" s="331"/>
      <c r="M280" s="223"/>
      <c r="N280" s="223"/>
      <c r="O280" s="223"/>
      <c r="P280" s="223"/>
      <c r="Q280" s="223"/>
      <c r="R280" s="223"/>
      <c r="S280" s="275"/>
      <c r="T280" s="275"/>
      <c r="U280" s="275"/>
      <c r="V280" s="275"/>
      <c r="W280" s="275"/>
      <c r="X280" s="275"/>
      <c r="Y280" s="275"/>
      <c r="Z280" s="275"/>
      <c r="AA280" s="275"/>
      <c r="AB280" s="223"/>
      <c r="AC280" s="275"/>
      <c r="AD280" s="275"/>
      <c r="AE280" s="275"/>
      <c r="AF280" s="275"/>
      <c r="AG280" s="275"/>
      <c r="AH280" s="275"/>
      <c r="AI280" s="275"/>
    </row>
    <row r="281" spans="1:35" ht="15">
      <c r="A281" s="209"/>
      <c r="B281" s="223"/>
      <c r="C281" s="275"/>
      <c r="D281" s="275"/>
      <c r="E281" s="275"/>
      <c r="F281" s="331"/>
      <c r="G281" s="331"/>
      <c r="H281" s="331"/>
      <c r="I281" s="332"/>
      <c r="J281" s="331"/>
      <c r="K281" s="331"/>
      <c r="L281" s="331"/>
      <c r="M281" s="223"/>
      <c r="N281" s="223"/>
      <c r="O281" s="223"/>
      <c r="P281" s="223"/>
      <c r="Q281" s="223"/>
      <c r="R281" s="223"/>
      <c r="S281" s="275"/>
      <c r="T281" s="275"/>
      <c r="U281" s="275"/>
      <c r="V281" s="275"/>
      <c r="W281" s="275"/>
      <c r="X281" s="275"/>
      <c r="Y281" s="275"/>
      <c r="Z281" s="275"/>
      <c r="AA281" s="275"/>
      <c r="AB281" s="223"/>
      <c r="AC281" s="275"/>
      <c r="AD281" s="275"/>
      <c r="AE281" s="275"/>
      <c r="AF281" s="275"/>
      <c r="AG281" s="275"/>
      <c r="AH281" s="275"/>
      <c r="AI281" s="275"/>
    </row>
    <row r="282" spans="1:35" ht="15">
      <c r="A282" s="209"/>
      <c r="B282" s="223"/>
      <c r="C282" s="275"/>
      <c r="D282" s="275"/>
      <c r="E282" s="275"/>
      <c r="F282" s="331"/>
      <c r="G282" s="331"/>
      <c r="H282" s="331"/>
      <c r="I282" s="332"/>
      <c r="J282" s="331"/>
      <c r="K282" s="331"/>
      <c r="L282" s="331"/>
      <c r="M282" s="223"/>
      <c r="N282" s="223"/>
      <c r="O282" s="223"/>
      <c r="P282" s="223"/>
      <c r="Q282" s="223"/>
      <c r="R282" s="223"/>
      <c r="S282" s="275"/>
      <c r="T282" s="275"/>
      <c r="U282" s="275"/>
      <c r="V282" s="275"/>
      <c r="W282" s="275"/>
      <c r="X282" s="275"/>
      <c r="Y282" s="275"/>
      <c r="Z282" s="275"/>
      <c r="AA282" s="275"/>
      <c r="AB282" s="223"/>
      <c r="AC282" s="275"/>
      <c r="AD282" s="275"/>
      <c r="AE282" s="275"/>
      <c r="AF282" s="275"/>
      <c r="AG282" s="275"/>
      <c r="AH282" s="275"/>
      <c r="AI282" s="275"/>
    </row>
    <row r="283" spans="1:35" ht="15">
      <c r="A283" s="209"/>
      <c r="B283" s="223"/>
      <c r="C283" s="275"/>
      <c r="D283" s="275"/>
      <c r="E283" s="275"/>
      <c r="F283" s="331"/>
      <c r="G283" s="331"/>
      <c r="H283" s="331"/>
      <c r="I283" s="332"/>
      <c r="J283" s="331"/>
      <c r="K283" s="331"/>
      <c r="L283" s="331"/>
      <c r="M283" s="223"/>
      <c r="N283" s="223"/>
      <c r="O283" s="223"/>
      <c r="P283" s="223"/>
      <c r="Q283" s="223"/>
      <c r="R283" s="223"/>
      <c r="S283" s="275"/>
      <c r="T283" s="275"/>
      <c r="U283" s="275"/>
      <c r="V283" s="275"/>
      <c r="W283" s="275"/>
      <c r="X283" s="275"/>
      <c r="Y283" s="275"/>
      <c r="Z283" s="275"/>
      <c r="AA283" s="275"/>
      <c r="AB283" s="223"/>
      <c r="AC283" s="275"/>
      <c r="AD283" s="275"/>
      <c r="AE283" s="275"/>
      <c r="AF283" s="275"/>
      <c r="AG283" s="275"/>
      <c r="AH283" s="275"/>
      <c r="AI283" s="275"/>
    </row>
    <row r="284" spans="1:35" ht="15">
      <c r="A284" s="209"/>
      <c r="B284" s="223"/>
      <c r="C284" s="275"/>
      <c r="D284" s="275"/>
      <c r="E284" s="275"/>
      <c r="F284" s="331"/>
      <c r="G284" s="331"/>
      <c r="H284" s="331"/>
      <c r="I284" s="332"/>
      <c r="J284" s="331"/>
      <c r="K284" s="331"/>
      <c r="L284" s="331"/>
      <c r="M284" s="223"/>
      <c r="N284" s="223"/>
      <c r="O284" s="223"/>
      <c r="P284" s="223"/>
      <c r="Q284" s="223"/>
      <c r="R284" s="223"/>
      <c r="S284" s="275"/>
      <c r="T284" s="275"/>
      <c r="U284" s="275"/>
      <c r="V284" s="275"/>
      <c r="W284" s="275"/>
      <c r="X284" s="275"/>
      <c r="Y284" s="275"/>
      <c r="Z284" s="275"/>
      <c r="AA284" s="275"/>
      <c r="AB284" s="223"/>
      <c r="AC284" s="275"/>
      <c r="AD284" s="275"/>
      <c r="AE284" s="275"/>
      <c r="AF284" s="275"/>
      <c r="AG284" s="275"/>
      <c r="AH284" s="275"/>
      <c r="AI284" s="275"/>
    </row>
    <row r="285" spans="1:35" ht="15">
      <c r="A285" s="209"/>
      <c r="B285" s="223"/>
      <c r="C285" s="275"/>
      <c r="D285" s="275"/>
      <c r="E285" s="275"/>
      <c r="F285" s="331"/>
      <c r="G285" s="331"/>
      <c r="H285" s="331"/>
      <c r="I285" s="332"/>
      <c r="J285" s="331"/>
      <c r="K285" s="331"/>
      <c r="L285" s="331"/>
      <c r="M285" s="223"/>
      <c r="N285" s="223"/>
      <c r="O285" s="223"/>
      <c r="P285" s="223"/>
      <c r="Q285" s="223"/>
      <c r="R285" s="223"/>
      <c r="S285" s="275"/>
      <c r="T285" s="275"/>
      <c r="U285" s="275"/>
      <c r="V285" s="275"/>
      <c r="W285" s="275"/>
      <c r="X285" s="275"/>
      <c r="Y285" s="275"/>
      <c r="Z285" s="275"/>
      <c r="AA285" s="275"/>
      <c r="AB285" s="223"/>
      <c r="AC285" s="275"/>
      <c r="AD285" s="275"/>
      <c r="AE285" s="275"/>
      <c r="AF285" s="275"/>
      <c r="AG285" s="275"/>
      <c r="AH285" s="275"/>
      <c r="AI285" s="275"/>
    </row>
    <row r="286" spans="1:35" ht="15">
      <c r="A286" s="209"/>
      <c r="B286" s="223"/>
      <c r="C286" s="275"/>
      <c r="D286" s="275"/>
      <c r="E286" s="275"/>
      <c r="F286" s="331"/>
      <c r="G286" s="331"/>
      <c r="H286" s="331"/>
      <c r="I286" s="332"/>
      <c r="J286" s="331"/>
      <c r="K286" s="331"/>
      <c r="L286" s="331"/>
      <c r="M286" s="223"/>
      <c r="N286" s="223"/>
      <c r="O286" s="223"/>
      <c r="P286" s="223"/>
      <c r="Q286" s="223"/>
      <c r="R286" s="223"/>
      <c r="S286" s="275"/>
      <c r="T286" s="275"/>
      <c r="U286" s="275"/>
      <c r="V286" s="275"/>
      <c r="W286" s="275"/>
      <c r="X286" s="275"/>
      <c r="Y286" s="275"/>
      <c r="Z286" s="275"/>
      <c r="AA286" s="275"/>
      <c r="AB286" s="223"/>
      <c r="AC286" s="275"/>
      <c r="AD286" s="275"/>
      <c r="AE286" s="275"/>
      <c r="AF286" s="275"/>
      <c r="AG286" s="275"/>
      <c r="AH286" s="275"/>
      <c r="AI286" s="275"/>
    </row>
    <row r="287" spans="1:35" ht="15">
      <c r="A287" s="209"/>
      <c r="B287" s="223"/>
      <c r="C287" s="275"/>
      <c r="D287" s="275"/>
      <c r="E287" s="275"/>
      <c r="F287" s="331"/>
      <c r="G287" s="331"/>
      <c r="H287" s="331"/>
      <c r="I287" s="332"/>
      <c r="J287" s="331"/>
      <c r="K287" s="331"/>
      <c r="L287" s="331"/>
      <c r="M287" s="223"/>
      <c r="N287" s="223"/>
      <c r="O287" s="223"/>
      <c r="P287" s="223"/>
      <c r="Q287" s="223"/>
      <c r="R287" s="223"/>
      <c r="S287" s="275"/>
      <c r="T287" s="275"/>
      <c r="U287" s="275"/>
      <c r="V287" s="275"/>
      <c r="W287" s="275"/>
      <c r="X287" s="275"/>
      <c r="Y287" s="275"/>
      <c r="Z287" s="275"/>
      <c r="AA287" s="275"/>
      <c r="AB287" s="223"/>
      <c r="AC287" s="275"/>
      <c r="AD287" s="275"/>
      <c r="AE287" s="275"/>
      <c r="AF287" s="275"/>
      <c r="AG287" s="275"/>
      <c r="AH287" s="275"/>
      <c r="AI287" s="275"/>
    </row>
    <row r="288" spans="1:35" ht="15">
      <c r="A288" s="209"/>
      <c r="B288" s="223"/>
      <c r="C288" s="275"/>
      <c r="D288" s="275"/>
      <c r="E288" s="275"/>
      <c r="F288" s="331"/>
      <c r="G288" s="331"/>
      <c r="H288" s="331"/>
      <c r="I288" s="332"/>
      <c r="J288" s="331"/>
      <c r="K288" s="331"/>
      <c r="L288" s="331"/>
      <c r="M288" s="223"/>
      <c r="N288" s="223"/>
      <c r="O288" s="223"/>
      <c r="P288" s="223"/>
      <c r="Q288" s="223"/>
      <c r="R288" s="223"/>
      <c r="S288" s="275"/>
      <c r="T288" s="275"/>
      <c r="U288" s="275"/>
      <c r="V288" s="275"/>
      <c r="W288" s="275"/>
      <c r="X288" s="275"/>
      <c r="Y288" s="275"/>
      <c r="Z288" s="275"/>
      <c r="AA288" s="275"/>
      <c r="AB288" s="223"/>
      <c r="AC288" s="275"/>
      <c r="AD288" s="275"/>
      <c r="AE288" s="275"/>
      <c r="AF288" s="275"/>
      <c r="AG288" s="275"/>
      <c r="AH288" s="275"/>
      <c r="AI288" s="275"/>
    </row>
    <row r="289" spans="1:35" ht="15">
      <c r="A289" s="209"/>
      <c r="B289" s="223"/>
      <c r="C289" s="275"/>
      <c r="D289" s="275"/>
      <c r="E289" s="275"/>
      <c r="F289" s="331"/>
      <c r="G289" s="331"/>
      <c r="H289" s="331"/>
      <c r="I289" s="332"/>
      <c r="J289" s="331"/>
      <c r="K289" s="331"/>
      <c r="L289" s="331"/>
      <c r="M289" s="223"/>
      <c r="N289" s="223"/>
      <c r="O289" s="223"/>
      <c r="P289" s="223"/>
      <c r="Q289" s="223"/>
      <c r="R289" s="223"/>
      <c r="S289" s="275"/>
      <c r="T289" s="275"/>
      <c r="U289" s="275"/>
      <c r="V289" s="275"/>
      <c r="W289" s="275"/>
      <c r="X289" s="275"/>
      <c r="Y289" s="275"/>
      <c r="Z289" s="275"/>
      <c r="AA289" s="275"/>
      <c r="AB289" s="223"/>
      <c r="AC289" s="275"/>
      <c r="AD289" s="275"/>
      <c r="AE289" s="275"/>
      <c r="AF289" s="275"/>
      <c r="AG289" s="275"/>
      <c r="AH289" s="275"/>
      <c r="AI289" s="275"/>
    </row>
    <row r="290" spans="1:35" ht="15">
      <c r="A290" s="209"/>
      <c r="B290" s="223"/>
      <c r="C290" s="275"/>
      <c r="D290" s="275"/>
      <c r="E290" s="275"/>
      <c r="F290" s="331"/>
      <c r="G290" s="331"/>
      <c r="H290" s="331"/>
      <c r="I290" s="332"/>
      <c r="J290" s="331"/>
      <c r="K290" s="331"/>
      <c r="L290" s="331"/>
      <c r="M290" s="223"/>
      <c r="N290" s="223"/>
      <c r="O290" s="223"/>
      <c r="P290" s="223"/>
      <c r="Q290" s="223"/>
      <c r="R290" s="223"/>
      <c r="S290" s="275"/>
      <c r="T290" s="275"/>
      <c r="U290" s="275"/>
      <c r="V290" s="275"/>
      <c r="W290" s="275"/>
      <c r="X290" s="275"/>
      <c r="Y290" s="275"/>
      <c r="Z290" s="275"/>
      <c r="AA290" s="275"/>
      <c r="AB290" s="223"/>
      <c r="AC290" s="275"/>
      <c r="AD290" s="275"/>
      <c r="AE290" s="275"/>
      <c r="AF290" s="275"/>
      <c r="AG290" s="275"/>
      <c r="AH290" s="275"/>
      <c r="AI290" s="275"/>
    </row>
    <row r="291" spans="1:35" ht="15">
      <c r="A291" s="209"/>
      <c r="B291" s="223"/>
      <c r="C291" s="275"/>
      <c r="D291" s="275"/>
      <c r="E291" s="275"/>
      <c r="F291" s="331"/>
      <c r="G291" s="331"/>
      <c r="H291" s="331"/>
      <c r="I291" s="332"/>
      <c r="J291" s="331"/>
      <c r="K291" s="331"/>
      <c r="L291" s="331"/>
      <c r="M291" s="223"/>
      <c r="N291" s="223"/>
      <c r="O291" s="223"/>
      <c r="P291" s="223"/>
      <c r="Q291" s="223"/>
      <c r="R291" s="223"/>
      <c r="S291" s="275"/>
      <c r="T291" s="275"/>
      <c r="U291" s="275"/>
      <c r="V291" s="275"/>
      <c r="W291" s="275"/>
      <c r="X291" s="275"/>
      <c r="Y291" s="275"/>
      <c r="Z291" s="275"/>
      <c r="AA291" s="275"/>
      <c r="AB291" s="223"/>
      <c r="AC291" s="275"/>
      <c r="AD291" s="275"/>
      <c r="AE291" s="275"/>
      <c r="AF291" s="275"/>
      <c r="AG291" s="275"/>
      <c r="AH291" s="275"/>
      <c r="AI291" s="275"/>
    </row>
    <row r="292" spans="1:35" ht="15">
      <c r="A292" s="209"/>
      <c r="B292" s="223"/>
      <c r="C292" s="275"/>
      <c r="D292" s="275"/>
      <c r="E292" s="275"/>
      <c r="F292" s="331"/>
      <c r="G292" s="331"/>
      <c r="H292" s="331"/>
      <c r="I292" s="332"/>
      <c r="J292" s="331"/>
      <c r="K292" s="331"/>
      <c r="L292" s="331"/>
      <c r="M292" s="223"/>
      <c r="N292" s="223"/>
      <c r="O292" s="223"/>
      <c r="P292" s="223"/>
      <c r="Q292" s="223"/>
      <c r="R292" s="223"/>
      <c r="S292" s="275"/>
      <c r="T292" s="275"/>
      <c r="U292" s="275"/>
      <c r="V292" s="275"/>
      <c r="W292" s="275"/>
      <c r="X292" s="275"/>
      <c r="Y292" s="275"/>
      <c r="Z292" s="275"/>
      <c r="AA292" s="275"/>
      <c r="AB292" s="223"/>
      <c r="AC292" s="275"/>
      <c r="AD292" s="275"/>
      <c r="AE292" s="275"/>
      <c r="AF292" s="275"/>
      <c r="AG292" s="275"/>
      <c r="AH292" s="275"/>
      <c r="AI292" s="275"/>
    </row>
    <row r="293" spans="1:35" ht="15">
      <c r="A293" s="209"/>
      <c r="B293" s="223"/>
      <c r="C293" s="275"/>
      <c r="D293" s="275"/>
      <c r="E293" s="275"/>
      <c r="F293" s="331"/>
      <c r="G293" s="331"/>
      <c r="H293" s="331"/>
      <c r="I293" s="332"/>
      <c r="J293" s="331"/>
      <c r="K293" s="331"/>
      <c r="L293" s="331"/>
      <c r="M293" s="223"/>
      <c r="N293" s="223"/>
      <c r="O293" s="223"/>
      <c r="P293" s="223"/>
      <c r="Q293" s="223"/>
      <c r="R293" s="223"/>
      <c r="S293" s="275"/>
      <c r="T293" s="275"/>
      <c r="U293" s="275"/>
      <c r="V293" s="275"/>
      <c r="W293" s="275"/>
      <c r="X293" s="275"/>
      <c r="Y293" s="275"/>
      <c r="Z293" s="275"/>
      <c r="AA293" s="275"/>
      <c r="AB293" s="223"/>
      <c r="AC293" s="275"/>
      <c r="AD293" s="275"/>
      <c r="AE293" s="275"/>
      <c r="AF293" s="275"/>
      <c r="AG293" s="275"/>
      <c r="AH293" s="275"/>
      <c r="AI293" s="275"/>
    </row>
    <row r="294" spans="1:35" ht="15">
      <c r="A294" s="209"/>
      <c r="B294" s="223"/>
      <c r="C294" s="275"/>
      <c r="D294" s="275"/>
      <c r="E294" s="275"/>
      <c r="F294" s="331"/>
      <c r="G294" s="331"/>
      <c r="H294" s="331"/>
      <c r="I294" s="332"/>
      <c r="J294" s="331"/>
      <c r="K294" s="331"/>
      <c r="L294" s="331"/>
      <c r="M294" s="223"/>
      <c r="N294" s="223"/>
      <c r="O294" s="223"/>
      <c r="P294" s="223"/>
      <c r="Q294" s="223"/>
      <c r="R294" s="223"/>
      <c r="S294" s="275"/>
      <c r="T294" s="275"/>
      <c r="U294" s="275"/>
      <c r="V294" s="275"/>
      <c r="W294" s="275"/>
      <c r="X294" s="275"/>
      <c r="Y294" s="275"/>
      <c r="Z294" s="275"/>
      <c r="AA294" s="275"/>
      <c r="AB294" s="223"/>
      <c r="AC294" s="275"/>
      <c r="AD294" s="275"/>
      <c r="AE294" s="275"/>
      <c r="AF294" s="275"/>
      <c r="AG294" s="275"/>
      <c r="AH294" s="275"/>
      <c r="AI294" s="275"/>
    </row>
    <row r="295" spans="1:35" ht="15">
      <c r="A295" s="209"/>
      <c r="B295" s="223"/>
      <c r="C295" s="275"/>
      <c r="D295" s="275"/>
      <c r="E295" s="275"/>
      <c r="F295" s="331"/>
      <c r="G295" s="331"/>
      <c r="H295" s="331"/>
      <c r="I295" s="332"/>
      <c r="J295" s="331"/>
      <c r="K295" s="331"/>
      <c r="L295" s="331"/>
      <c r="M295" s="223"/>
      <c r="N295" s="223"/>
      <c r="O295" s="223"/>
      <c r="P295" s="223"/>
      <c r="Q295" s="223"/>
      <c r="R295" s="223"/>
      <c r="S295" s="275"/>
      <c r="T295" s="275"/>
      <c r="U295" s="275"/>
      <c r="V295" s="275"/>
      <c r="W295" s="275"/>
      <c r="X295" s="275"/>
      <c r="Y295" s="275"/>
      <c r="Z295" s="275"/>
      <c r="AA295" s="275"/>
      <c r="AB295" s="223"/>
      <c r="AC295" s="275"/>
      <c r="AD295" s="275"/>
      <c r="AE295" s="275"/>
      <c r="AF295" s="275"/>
      <c r="AG295" s="275"/>
      <c r="AH295" s="275"/>
      <c r="AI295" s="275"/>
    </row>
    <row r="296" spans="1:35" ht="15">
      <c r="A296" s="209"/>
      <c r="B296" s="223"/>
      <c r="C296" s="275"/>
      <c r="D296" s="275"/>
      <c r="E296" s="275"/>
      <c r="F296" s="331"/>
      <c r="G296" s="331"/>
      <c r="H296" s="331"/>
      <c r="I296" s="332"/>
      <c r="J296" s="331"/>
      <c r="K296" s="331"/>
      <c r="L296" s="331"/>
      <c r="M296" s="223"/>
      <c r="N296" s="223"/>
      <c r="O296" s="223"/>
      <c r="P296" s="223"/>
      <c r="Q296" s="223"/>
      <c r="R296" s="223"/>
      <c r="S296" s="275"/>
      <c r="T296" s="275"/>
      <c r="U296" s="275"/>
      <c r="V296" s="275"/>
      <c r="W296" s="275"/>
      <c r="X296" s="275"/>
      <c r="Y296" s="275"/>
      <c r="Z296" s="275"/>
      <c r="AA296" s="275"/>
      <c r="AB296" s="223"/>
      <c r="AC296" s="275"/>
      <c r="AD296" s="275"/>
      <c r="AE296" s="275"/>
      <c r="AF296" s="275"/>
      <c r="AG296" s="275"/>
      <c r="AH296" s="275"/>
      <c r="AI296" s="275"/>
    </row>
    <row r="297" spans="1:35" ht="15">
      <c r="A297" s="209"/>
      <c r="B297" s="223"/>
      <c r="C297" s="275"/>
      <c r="D297" s="275"/>
      <c r="E297" s="275"/>
      <c r="F297" s="331"/>
      <c r="G297" s="331"/>
      <c r="H297" s="331"/>
      <c r="I297" s="332"/>
      <c r="J297" s="331"/>
      <c r="K297" s="331"/>
      <c r="L297" s="331"/>
      <c r="M297" s="223"/>
      <c r="N297" s="223"/>
      <c r="O297" s="223"/>
      <c r="P297" s="223"/>
      <c r="Q297" s="223"/>
      <c r="R297" s="223"/>
      <c r="S297" s="275"/>
      <c r="T297" s="275"/>
      <c r="U297" s="275"/>
      <c r="V297" s="275"/>
      <c r="W297" s="275"/>
      <c r="X297" s="275"/>
      <c r="Y297" s="275"/>
      <c r="Z297" s="275"/>
      <c r="AA297" s="275"/>
      <c r="AB297" s="223"/>
      <c r="AC297" s="275"/>
      <c r="AD297" s="275"/>
      <c r="AE297" s="275"/>
      <c r="AF297" s="275"/>
      <c r="AG297" s="275"/>
      <c r="AH297" s="275"/>
      <c r="AI297" s="275"/>
    </row>
    <row r="298" spans="1:35" ht="15">
      <c r="A298" s="209"/>
      <c r="B298" s="223"/>
      <c r="C298" s="275"/>
      <c r="D298" s="275"/>
      <c r="E298" s="275"/>
      <c r="F298" s="331"/>
      <c r="G298" s="331"/>
      <c r="H298" s="331"/>
      <c r="I298" s="332"/>
      <c r="J298" s="331"/>
      <c r="K298" s="331"/>
      <c r="L298" s="331"/>
      <c r="M298" s="223"/>
      <c r="N298" s="223"/>
      <c r="O298" s="223"/>
      <c r="P298" s="223"/>
      <c r="Q298" s="223"/>
      <c r="R298" s="223"/>
      <c r="S298" s="275"/>
      <c r="T298" s="275"/>
      <c r="U298" s="275"/>
      <c r="V298" s="275"/>
      <c r="W298" s="275"/>
      <c r="X298" s="275"/>
      <c r="Y298" s="275"/>
      <c r="Z298" s="275"/>
      <c r="AA298" s="275"/>
      <c r="AB298" s="223"/>
      <c r="AC298" s="275"/>
      <c r="AD298" s="275"/>
      <c r="AE298" s="275"/>
      <c r="AF298" s="275"/>
      <c r="AG298" s="275"/>
      <c r="AH298" s="275"/>
      <c r="AI298" s="275"/>
    </row>
    <row r="299" spans="1:35" ht="15">
      <c r="A299" s="209"/>
      <c r="B299" s="223"/>
      <c r="C299" s="275"/>
      <c r="D299" s="275"/>
      <c r="E299" s="275"/>
      <c r="F299" s="331"/>
      <c r="G299" s="331"/>
      <c r="H299" s="331"/>
      <c r="I299" s="332"/>
      <c r="J299" s="331"/>
      <c r="K299" s="331"/>
      <c r="L299" s="331"/>
      <c r="M299" s="223"/>
      <c r="N299" s="223"/>
      <c r="O299" s="223"/>
      <c r="P299" s="223"/>
      <c r="Q299" s="223"/>
      <c r="R299" s="223"/>
      <c r="S299" s="275"/>
      <c r="T299" s="275"/>
      <c r="U299" s="275"/>
      <c r="V299" s="275"/>
      <c r="W299" s="275"/>
      <c r="X299" s="275"/>
      <c r="Y299" s="275"/>
      <c r="Z299" s="275"/>
      <c r="AA299" s="275"/>
      <c r="AB299" s="223"/>
      <c r="AC299" s="275"/>
      <c r="AD299" s="275"/>
      <c r="AE299" s="275"/>
      <c r="AF299" s="275"/>
      <c r="AG299" s="275"/>
      <c r="AH299" s="275"/>
      <c r="AI299" s="275"/>
    </row>
    <row r="300" spans="1:35" ht="15">
      <c r="A300" s="209"/>
      <c r="B300" s="223"/>
      <c r="C300" s="275"/>
      <c r="D300" s="275"/>
      <c r="E300" s="275"/>
      <c r="F300" s="331"/>
      <c r="G300" s="331"/>
      <c r="H300" s="331"/>
      <c r="I300" s="332"/>
      <c r="J300" s="331"/>
      <c r="K300" s="331"/>
      <c r="L300" s="331"/>
      <c r="M300" s="223"/>
      <c r="N300" s="223"/>
      <c r="O300" s="223"/>
      <c r="P300" s="223"/>
      <c r="Q300" s="223"/>
      <c r="R300" s="223"/>
      <c r="S300" s="275"/>
      <c r="T300" s="275"/>
      <c r="U300" s="275"/>
      <c r="V300" s="275"/>
      <c r="W300" s="275"/>
      <c r="X300" s="275"/>
      <c r="Y300" s="275"/>
      <c r="Z300" s="275"/>
      <c r="AA300" s="275"/>
      <c r="AB300" s="223"/>
      <c r="AC300" s="275"/>
      <c r="AD300" s="275"/>
      <c r="AE300" s="275"/>
      <c r="AF300" s="275"/>
      <c r="AG300" s="275"/>
      <c r="AH300" s="275"/>
      <c r="AI300" s="275"/>
    </row>
    <row r="301" spans="1:35" ht="15">
      <c r="A301" s="209"/>
      <c r="B301" s="223"/>
      <c r="C301" s="275"/>
      <c r="D301" s="275"/>
      <c r="E301" s="275"/>
      <c r="F301" s="331"/>
      <c r="G301" s="331"/>
      <c r="H301" s="331"/>
      <c r="I301" s="332"/>
      <c r="J301" s="331"/>
      <c r="K301" s="331"/>
      <c r="L301" s="331"/>
      <c r="M301" s="223"/>
      <c r="N301" s="223"/>
      <c r="O301" s="223"/>
      <c r="P301" s="223"/>
      <c r="Q301" s="223"/>
      <c r="R301" s="223"/>
      <c r="S301" s="275"/>
      <c r="T301" s="275"/>
      <c r="U301" s="275"/>
      <c r="V301" s="275"/>
      <c r="W301" s="275"/>
      <c r="X301" s="275"/>
      <c r="Y301" s="275"/>
      <c r="Z301" s="275"/>
      <c r="AA301" s="275"/>
      <c r="AB301" s="223"/>
      <c r="AC301" s="275"/>
      <c r="AD301" s="275"/>
      <c r="AE301" s="275"/>
      <c r="AF301" s="275"/>
      <c r="AG301" s="275"/>
      <c r="AH301" s="275"/>
      <c r="AI301" s="275"/>
    </row>
    <row r="302" spans="1:35" ht="15">
      <c r="A302" s="209"/>
      <c r="B302" s="223"/>
      <c r="C302" s="275"/>
      <c r="D302" s="275"/>
      <c r="E302" s="275"/>
      <c r="F302" s="331"/>
      <c r="G302" s="331"/>
      <c r="H302" s="331"/>
      <c r="I302" s="332"/>
      <c r="J302" s="331"/>
      <c r="K302" s="331"/>
      <c r="L302" s="331"/>
      <c r="M302" s="223"/>
      <c r="N302" s="223"/>
      <c r="O302" s="223"/>
      <c r="P302" s="223"/>
      <c r="Q302" s="223"/>
      <c r="R302" s="223"/>
      <c r="S302" s="275"/>
      <c r="T302" s="275"/>
      <c r="U302" s="275"/>
      <c r="V302" s="275"/>
      <c r="W302" s="275"/>
      <c r="X302" s="275"/>
      <c r="Y302" s="275"/>
      <c r="Z302" s="275"/>
      <c r="AA302" s="275"/>
      <c r="AB302" s="223"/>
      <c r="AC302" s="275"/>
      <c r="AD302" s="275"/>
      <c r="AE302" s="275"/>
      <c r="AF302" s="275"/>
      <c r="AG302" s="275"/>
      <c r="AH302" s="275"/>
      <c r="AI302" s="275"/>
    </row>
    <row r="303" spans="1:35" ht="15">
      <c r="A303" s="209"/>
      <c r="B303" s="209"/>
      <c r="G303" s="331"/>
      <c r="H303" s="331"/>
      <c r="I303" s="332"/>
      <c r="J303" s="331"/>
      <c r="K303" s="331"/>
      <c r="L303" s="331"/>
      <c r="M303" s="223"/>
      <c r="N303" s="223"/>
      <c r="O303" s="223"/>
      <c r="P303" s="223"/>
      <c r="Q303" s="223"/>
      <c r="R303" s="223"/>
      <c r="S303" s="275"/>
      <c r="T303" s="275"/>
      <c r="U303" s="275"/>
      <c r="V303" s="275"/>
      <c r="W303" s="275"/>
      <c r="X303" s="275"/>
      <c r="Y303" s="275"/>
      <c r="Z303" s="275"/>
      <c r="AA303" s="275"/>
      <c r="AB303" s="223"/>
      <c r="AC303" s="275"/>
      <c r="AD303" s="275"/>
      <c r="AE303" s="275"/>
      <c r="AF303" s="275"/>
      <c r="AG303" s="275"/>
      <c r="AH303" s="275"/>
      <c r="AI303" s="275"/>
    </row>
    <row r="304" spans="1:35" ht="15">
      <c r="A304" s="209"/>
      <c r="B304" s="209"/>
      <c r="G304" s="331"/>
      <c r="H304" s="331"/>
      <c r="I304" s="332"/>
      <c r="J304" s="331"/>
      <c r="K304" s="331"/>
      <c r="L304" s="331"/>
      <c r="M304" s="275"/>
      <c r="N304" s="275"/>
      <c r="O304" s="275"/>
      <c r="P304" s="275"/>
      <c r="Q304" s="275"/>
      <c r="R304" s="275"/>
      <c r="S304" s="275"/>
      <c r="T304" s="275"/>
      <c r="U304" s="275"/>
      <c r="V304" s="275"/>
      <c r="W304" s="275"/>
      <c r="X304" s="275"/>
      <c r="Y304" s="275"/>
      <c r="Z304" s="275"/>
      <c r="AA304" s="275"/>
      <c r="AB304" s="223"/>
      <c r="AC304" s="275"/>
      <c r="AD304" s="275"/>
      <c r="AE304" s="275"/>
      <c r="AF304" s="275"/>
      <c r="AG304" s="275"/>
      <c r="AH304" s="275"/>
      <c r="AI304" s="275"/>
    </row>
    <row r="305" spans="1:35" ht="15">
      <c r="A305" s="209"/>
      <c r="B305" s="209"/>
      <c r="G305" s="331"/>
      <c r="H305" s="331"/>
      <c r="I305" s="332"/>
      <c r="J305" s="331"/>
      <c r="K305" s="331"/>
      <c r="L305" s="331"/>
      <c r="M305" s="275"/>
      <c r="N305" s="275"/>
      <c r="O305" s="275"/>
      <c r="P305" s="275"/>
      <c r="Q305" s="275"/>
      <c r="R305" s="275"/>
      <c r="S305" s="275"/>
      <c r="T305" s="275"/>
      <c r="U305" s="275"/>
      <c r="V305" s="275"/>
      <c r="W305" s="275"/>
      <c r="X305" s="275"/>
      <c r="Y305" s="275"/>
      <c r="Z305" s="275"/>
      <c r="AA305" s="275"/>
      <c r="AB305" s="223"/>
      <c r="AC305" s="275"/>
      <c r="AD305" s="275"/>
      <c r="AE305" s="275"/>
      <c r="AF305" s="275"/>
      <c r="AG305" s="275"/>
      <c r="AH305" s="275"/>
      <c r="AI305" s="275"/>
    </row>
    <row r="306" spans="1:35" ht="15">
      <c r="A306" s="209"/>
      <c r="B306" s="209"/>
      <c r="G306" s="331"/>
      <c r="H306" s="331"/>
      <c r="I306" s="332"/>
      <c r="J306" s="331"/>
      <c r="K306" s="331"/>
      <c r="L306" s="331"/>
      <c r="M306" s="275"/>
      <c r="N306" s="275"/>
      <c r="O306" s="275"/>
      <c r="P306" s="275"/>
      <c r="Q306" s="275"/>
      <c r="R306" s="275"/>
      <c r="S306" s="275"/>
      <c r="T306" s="275"/>
      <c r="U306" s="275"/>
      <c r="V306" s="275"/>
      <c r="W306" s="275"/>
      <c r="X306" s="275"/>
      <c r="Y306" s="275"/>
      <c r="Z306" s="275"/>
      <c r="AA306" s="275"/>
      <c r="AB306" s="223"/>
      <c r="AC306" s="275"/>
      <c r="AD306" s="275"/>
      <c r="AE306" s="275"/>
      <c r="AF306" s="275"/>
      <c r="AG306" s="275"/>
      <c r="AH306" s="275"/>
      <c r="AI306" s="275"/>
    </row>
    <row r="307" spans="1:35" ht="15">
      <c r="A307" s="209"/>
      <c r="B307" s="209"/>
      <c r="G307" s="331"/>
      <c r="H307" s="331"/>
      <c r="I307" s="332"/>
      <c r="J307" s="331"/>
      <c r="K307" s="331"/>
      <c r="L307" s="331"/>
      <c r="M307" s="275"/>
      <c r="N307" s="275"/>
      <c r="O307" s="275"/>
      <c r="P307" s="275"/>
      <c r="Q307" s="275"/>
      <c r="R307" s="275"/>
      <c r="S307" s="275"/>
      <c r="T307" s="275"/>
      <c r="U307" s="275"/>
      <c r="V307" s="275"/>
      <c r="W307" s="275"/>
      <c r="X307" s="275"/>
      <c r="Y307" s="275"/>
      <c r="Z307" s="275"/>
      <c r="AA307" s="275"/>
      <c r="AB307" s="223"/>
      <c r="AC307" s="275"/>
      <c r="AD307" s="275"/>
      <c r="AE307" s="275"/>
      <c r="AF307" s="275"/>
      <c r="AG307" s="275"/>
      <c r="AH307" s="275"/>
      <c r="AI307" s="275"/>
    </row>
    <row r="308" spans="1:35" ht="15">
      <c r="A308" s="209"/>
      <c r="B308" s="209"/>
      <c r="G308" s="331"/>
      <c r="H308" s="331"/>
      <c r="I308" s="332"/>
      <c r="J308" s="331"/>
      <c r="K308" s="331"/>
      <c r="L308" s="331"/>
      <c r="M308" s="275"/>
      <c r="N308" s="275"/>
      <c r="O308" s="275"/>
      <c r="P308" s="275"/>
      <c r="Q308" s="275"/>
      <c r="R308" s="275"/>
      <c r="S308" s="275"/>
      <c r="T308" s="275"/>
      <c r="U308" s="275"/>
      <c r="V308" s="275"/>
      <c r="W308" s="275"/>
      <c r="X308" s="275"/>
      <c r="Y308" s="275"/>
      <c r="Z308" s="275"/>
      <c r="AA308" s="275"/>
      <c r="AB308" s="223"/>
      <c r="AC308" s="275"/>
      <c r="AD308" s="275"/>
      <c r="AE308" s="275"/>
      <c r="AF308" s="275"/>
      <c r="AG308" s="275"/>
      <c r="AH308" s="275"/>
      <c r="AI308" s="275"/>
    </row>
    <row r="309" spans="1:35" ht="15">
      <c r="A309" s="209"/>
      <c r="B309" s="209"/>
      <c r="G309" s="331"/>
      <c r="H309" s="331"/>
      <c r="I309" s="332"/>
      <c r="J309" s="331"/>
      <c r="K309" s="331"/>
      <c r="L309" s="331"/>
      <c r="M309" s="275"/>
      <c r="N309" s="275"/>
      <c r="O309" s="275"/>
      <c r="P309" s="275"/>
      <c r="Q309" s="275"/>
      <c r="R309" s="275"/>
      <c r="S309" s="275"/>
      <c r="T309" s="275"/>
      <c r="U309" s="275"/>
      <c r="V309" s="275"/>
      <c r="W309" s="275"/>
      <c r="X309" s="275"/>
      <c r="Y309" s="275"/>
      <c r="Z309" s="275"/>
      <c r="AA309" s="275"/>
      <c r="AB309" s="223"/>
      <c r="AC309" s="275"/>
      <c r="AD309" s="275"/>
      <c r="AE309" s="275"/>
      <c r="AF309" s="275"/>
      <c r="AG309" s="275"/>
      <c r="AH309" s="275"/>
      <c r="AI309" s="275"/>
    </row>
    <row r="310" spans="1:35" ht="15">
      <c r="A310" s="209"/>
      <c r="B310" s="209"/>
      <c r="G310" s="331"/>
      <c r="H310" s="331"/>
      <c r="I310" s="332"/>
      <c r="J310" s="331"/>
      <c r="K310" s="331"/>
      <c r="L310" s="331"/>
      <c r="M310" s="275"/>
      <c r="N310" s="275"/>
      <c r="O310" s="275"/>
      <c r="P310" s="275"/>
      <c r="Q310" s="275"/>
      <c r="R310" s="275"/>
      <c r="S310" s="275"/>
      <c r="T310" s="275"/>
      <c r="U310" s="275"/>
      <c r="V310" s="275"/>
      <c r="W310" s="275"/>
      <c r="X310" s="275"/>
      <c r="Y310" s="275"/>
      <c r="Z310" s="275"/>
      <c r="AA310" s="275"/>
      <c r="AB310" s="223"/>
      <c r="AC310" s="275"/>
      <c r="AD310" s="275"/>
      <c r="AE310" s="275"/>
      <c r="AF310" s="275"/>
      <c r="AG310" s="275"/>
      <c r="AH310" s="275"/>
      <c r="AI310" s="275"/>
    </row>
    <row r="311" spans="1:35" ht="15">
      <c r="A311" s="209"/>
      <c r="B311" s="209"/>
      <c r="G311" s="331"/>
      <c r="H311" s="331"/>
      <c r="I311" s="332"/>
      <c r="J311" s="331"/>
      <c r="K311" s="331"/>
      <c r="L311" s="331"/>
      <c r="M311" s="275"/>
      <c r="N311" s="275"/>
      <c r="O311" s="275"/>
      <c r="P311" s="275"/>
      <c r="Q311" s="275"/>
      <c r="R311" s="275"/>
      <c r="S311" s="275"/>
      <c r="T311" s="275"/>
      <c r="U311" s="275"/>
      <c r="V311" s="275"/>
      <c r="W311" s="275"/>
      <c r="X311" s="275"/>
      <c r="Y311" s="275"/>
      <c r="Z311" s="275"/>
      <c r="AA311" s="275"/>
      <c r="AB311" s="223"/>
      <c r="AC311" s="275"/>
      <c r="AD311" s="275"/>
      <c r="AE311" s="275"/>
      <c r="AF311" s="275"/>
      <c r="AG311" s="275"/>
      <c r="AH311" s="275"/>
      <c r="AI311" s="275"/>
    </row>
    <row r="312" spans="1:35" ht="15">
      <c r="A312" s="209"/>
      <c r="B312" s="209"/>
      <c r="G312" s="331"/>
      <c r="H312" s="331"/>
      <c r="I312" s="332"/>
      <c r="J312" s="331"/>
      <c r="K312" s="331"/>
      <c r="L312" s="331"/>
      <c r="M312" s="275"/>
      <c r="N312" s="275"/>
      <c r="O312" s="275"/>
      <c r="P312" s="275"/>
      <c r="Q312" s="275"/>
      <c r="R312" s="275"/>
      <c r="S312" s="275"/>
      <c r="T312" s="275"/>
      <c r="U312" s="275"/>
      <c r="V312" s="275"/>
      <c r="W312" s="275"/>
      <c r="X312" s="275"/>
      <c r="Y312" s="275"/>
      <c r="Z312" s="275"/>
      <c r="AA312" s="275"/>
      <c r="AB312" s="223"/>
      <c r="AC312" s="275"/>
      <c r="AD312" s="275"/>
      <c r="AE312" s="275"/>
      <c r="AF312" s="275"/>
      <c r="AG312" s="275"/>
      <c r="AH312" s="275"/>
      <c r="AI312" s="275"/>
    </row>
    <row r="313" spans="1:35" ht="15">
      <c r="A313" s="209"/>
      <c r="B313" s="209"/>
      <c r="G313" s="331"/>
      <c r="H313" s="331"/>
      <c r="I313" s="332"/>
      <c r="J313" s="331"/>
      <c r="K313" s="331"/>
      <c r="L313" s="331"/>
      <c r="M313" s="275"/>
      <c r="N313" s="275"/>
      <c r="O313" s="275"/>
      <c r="P313" s="275"/>
      <c r="Q313" s="275"/>
      <c r="R313" s="275"/>
      <c r="S313" s="275"/>
      <c r="T313" s="275"/>
      <c r="U313" s="275"/>
      <c r="V313" s="275"/>
      <c r="W313" s="275"/>
      <c r="X313" s="275"/>
      <c r="Y313" s="275"/>
      <c r="Z313" s="275"/>
      <c r="AA313" s="275"/>
      <c r="AB313" s="223"/>
      <c r="AC313" s="275"/>
      <c r="AD313" s="275"/>
      <c r="AE313" s="275"/>
      <c r="AF313" s="275"/>
      <c r="AG313" s="275"/>
      <c r="AH313" s="275"/>
      <c r="AI313" s="275"/>
    </row>
    <row r="314" spans="1:35" ht="15">
      <c r="A314" s="209"/>
      <c r="B314" s="209"/>
      <c r="G314" s="331"/>
      <c r="H314" s="331"/>
      <c r="I314" s="332"/>
      <c r="J314" s="331"/>
      <c r="K314" s="331"/>
      <c r="L314" s="331"/>
      <c r="M314" s="275"/>
      <c r="N314" s="275"/>
      <c r="O314" s="275"/>
      <c r="P314" s="275"/>
      <c r="Q314" s="275"/>
      <c r="R314" s="275"/>
      <c r="S314" s="275"/>
      <c r="T314" s="275"/>
      <c r="U314" s="275"/>
      <c r="V314" s="275"/>
      <c r="W314" s="275"/>
      <c r="X314" s="275"/>
      <c r="Y314" s="275"/>
      <c r="Z314" s="275"/>
      <c r="AA314" s="275"/>
      <c r="AB314" s="223"/>
      <c r="AC314" s="275"/>
      <c r="AD314" s="275"/>
      <c r="AE314" s="275"/>
      <c r="AF314" s="275"/>
      <c r="AG314" s="275"/>
      <c r="AH314" s="275"/>
      <c r="AI314" s="275"/>
    </row>
    <row r="315" spans="1:35" ht="15">
      <c r="A315" s="209"/>
      <c r="B315" s="209"/>
      <c r="G315" s="331"/>
      <c r="H315" s="331"/>
      <c r="I315" s="332"/>
      <c r="J315" s="331"/>
      <c r="K315" s="331"/>
      <c r="L315" s="331"/>
      <c r="M315" s="275"/>
      <c r="N315" s="275"/>
      <c r="O315" s="275"/>
      <c r="P315" s="275"/>
      <c r="Q315" s="275"/>
      <c r="R315" s="275"/>
      <c r="S315" s="275"/>
      <c r="T315" s="275"/>
      <c r="U315" s="275"/>
      <c r="V315" s="275"/>
      <c r="W315" s="275"/>
      <c r="X315" s="275"/>
      <c r="Y315" s="275"/>
      <c r="Z315" s="275"/>
      <c r="AA315" s="275"/>
      <c r="AB315" s="223"/>
      <c r="AC315" s="275"/>
      <c r="AD315" s="275"/>
      <c r="AE315" s="275"/>
      <c r="AF315" s="275"/>
      <c r="AG315" s="275"/>
      <c r="AH315" s="275"/>
      <c r="AI315" s="275"/>
    </row>
    <row r="316" spans="1:35" ht="15">
      <c r="A316" s="209"/>
      <c r="B316" s="209"/>
      <c r="G316" s="331"/>
      <c r="H316" s="331"/>
      <c r="I316" s="332"/>
      <c r="J316" s="331"/>
      <c r="K316" s="331"/>
      <c r="L316" s="331"/>
      <c r="M316" s="275"/>
      <c r="N316" s="275"/>
      <c r="O316" s="275"/>
      <c r="P316" s="275"/>
      <c r="Q316" s="275"/>
      <c r="R316" s="275"/>
      <c r="S316" s="275"/>
      <c r="T316" s="275"/>
      <c r="U316" s="275"/>
      <c r="V316" s="275"/>
      <c r="W316" s="275"/>
      <c r="X316" s="275"/>
      <c r="Y316" s="275"/>
      <c r="Z316" s="275"/>
      <c r="AA316" s="275"/>
      <c r="AB316" s="223"/>
      <c r="AC316" s="275"/>
      <c r="AD316" s="275"/>
      <c r="AE316" s="275"/>
      <c r="AF316" s="275"/>
      <c r="AG316" s="275"/>
      <c r="AH316" s="275"/>
      <c r="AI316" s="275"/>
    </row>
    <row r="317" spans="1:35" ht="15">
      <c r="A317" s="209"/>
      <c r="B317" s="209"/>
      <c r="G317" s="331"/>
      <c r="H317" s="331"/>
      <c r="I317" s="332"/>
      <c r="J317" s="331"/>
      <c r="K317" s="331"/>
      <c r="L317" s="331"/>
      <c r="M317" s="275"/>
      <c r="N317" s="275"/>
      <c r="O317" s="275"/>
      <c r="P317" s="275"/>
      <c r="Q317" s="275"/>
      <c r="R317" s="275"/>
      <c r="S317" s="275"/>
      <c r="T317" s="275"/>
      <c r="U317" s="275"/>
      <c r="V317" s="275"/>
      <c r="W317" s="275"/>
      <c r="X317" s="275"/>
      <c r="Y317" s="275"/>
      <c r="Z317" s="275"/>
      <c r="AA317" s="275"/>
      <c r="AB317" s="223"/>
      <c r="AC317" s="275"/>
      <c r="AD317" s="275"/>
      <c r="AE317" s="275"/>
      <c r="AF317" s="275"/>
      <c r="AG317" s="275"/>
      <c r="AH317" s="275"/>
      <c r="AI317" s="275"/>
    </row>
    <row r="318" spans="1:2" ht="15">
      <c r="A318" s="209"/>
      <c r="B318" s="209"/>
    </row>
    <row r="319" spans="1:2" ht="15">
      <c r="A319" s="209"/>
      <c r="B319" s="209"/>
    </row>
    <row r="320" spans="1:2" ht="15">
      <c r="A320" s="209"/>
      <c r="B320" s="209"/>
    </row>
    <row r="321" spans="1:2" ht="15">
      <c r="A321" s="209"/>
      <c r="B321" s="209"/>
    </row>
    <row r="322" spans="1:2" ht="15">
      <c r="A322" s="209"/>
      <c r="B322" s="209"/>
    </row>
    <row r="323" spans="1:2" ht="15">
      <c r="A323" s="209"/>
      <c r="B323" s="209"/>
    </row>
    <row r="324" spans="1:2" ht="15">
      <c r="A324" s="209"/>
      <c r="B324" s="209"/>
    </row>
    <row r="325" spans="1:2" ht="15">
      <c r="A325" s="209"/>
      <c r="B325" s="209"/>
    </row>
    <row r="326" spans="1:2" ht="15">
      <c r="A326" s="209"/>
      <c r="B326" s="209"/>
    </row>
    <row r="327" spans="1:2" ht="15">
      <c r="A327" s="209"/>
      <c r="B327" s="209"/>
    </row>
    <row r="328" spans="1:2" ht="15">
      <c r="A328" s="209"/>
      <c r="B328" s="209"/>
    </row>
    <row r="329" spans="1:2" ht="15">
      <c r="A329" s="209"/>
      <c r="B329" s="209"/>
    </row>
    <row r="330" spans="1:2" ht="15">
      <c r="A330" s="209"/>
      <c r="B330" s="209"/>
    </row>
    <row r="331" spans="1:2" ht="15">
      <c r="A331" s="209"/>
      <c r="B331" s="209"/>
    </row>
    <row r="332" spans="1:2" ht="15">
      <c r="A332" s="209"/>
      <c r="B332" s="209"/>
    </row>
    <row r="333" spans="1:2" ht="15">
      <c r="A333" s="209"/>
      <c r="B333" s="209"/>
    </row>
    <row r="334" spans="1:2" ht="15">
      <c r="A334" s="209"/>
      <c r="B334" s="209"/>
    </row>
    <row r="335" spans="1:2" ht="15">
      <c r="A335" s="209"/>
      <c r="B335" s="209"/>
    </row>
    <row r="336" spans="1:2" ht="15">
      <c r="A336" s="209"/>
      <c r="B336" s="209"/>
    </row>
    <row r="337" spans="1:2" ht="15">
      <c r="A337" s="209"/>
      <c r="B337" s="209"/>
    </row>
    <row r="338" spans="1:2" ht="15">
      <c r="A338" s="209"/>
      <c r="B338" s="209"/>
    </row>
    <row r="339" spans="1:2" ht="15">
      <c r="A339" s="209"/>
      <c r="B339" s="209"/>
    </row>
    <row r="340" spans="1:2" ht="15">
      <c r="A340" s="209"/>
      <c r="B340" s="209"/>
    </row>
    <row r="341" spans="1:2" ht="15">
      <c r="A341" s="209"/>
      <c r="B341" s="209"/>
    </row>
    <row r="342" spans="1:2" ht="15">
      <c r="A342" s="209"/>
      <c r="B342" s="209"/>
    </row>
    <row r="343" spans="1:2" ht="15">
      <c r="A343" s="209"/>
      <c r="B343" s="209"/>
    </row>
    <row r="344" spans="1:2" ht="15">
      <c r="A344" s="209"/>
      <c r="B344" s="209"/>
    </row>
    <row r="345" spans="1:2" ht="15">
      <c r="A345" s="209"/>
      <c r="B345" s="209"/>
    </row>
    <row r="346" spans="1:2" ht="15">
      <c r="A346" s="209"/>
      <c r="B346" s="209"/>
    </row>
    <row r="347" spans="1:2" ht="15">
      <c r="A347" s="209"/>
      <c r="B347" s="209"/>
    </row>
    <row r="348" spans="1:2" ht="15">
      <c r="A348" s="209"/>
      <c r="B348" s="209"/>
    </row>
    <row r="349" spans="1:2" ht="15">
      <c r="A349" s="209"/>
      <c r="B349" s="209"/>
    </row>
    <row r="350" spans="1:2" ht="15">
      <c r="A350" s="209"/>
      <c r="B350" s="209"/>
    </row>
    <row r="351" spans="1:2" ht="15">
      <c r="A351" s="209"/>
      <c r="B351" s="209"/>
    </row>
    <row r="352" spans="1:2" ht="15">
      <c r="A352" s="209"/>
      <c r="B352" s="209"/>
    </row>
    <row r="353" spans="1:2" ht="15">
      <c r="A353" s="209"/>
      <c r="B353" s="209"/>
    </row>
    <row r="354" spans="1:2" ht="15">
      <c r="A354" s="209"/>
      <c r="B354" s="209"/>
    </row>
    <row r="355" spans="1:2" ht="15">
      <c r="A355" s="209"/>
      <c r="B355" s="209"/>
    </row>
    <row r="356" spans="1:2" ht="15">
      <c r="A356" s="209"/>
      <c r="B356" s="209"/>
    </row>
    <row r="357" spans="1:2" ht="15">
      <c r="A357" s="209"/>
      <c r="B357" s="209"/>
    </row>
    <row r="358" spans="1:2" ht="15">
      <c r="A358" s="209"/>
      <c r="B358" s="209"/>
    </row>
    <row r="359" spans="1:2" ht="15">
      <c r="A359" s="209"/>
      <c r="B359" s="209"/>
    </row>
    <row r="360" spans="1:2" ht="15">
      <c r="A360" s="209"/>
      <c r="B360" s="209"/>
    </row>
    <row r="361" spans="1:2" ht="15">
      <c r="A361" s="209"/>
      <c r="B361" s="209"/>
    </row>
    <row r="362" spans="1:2" ht="15">
      <c r="A362" s="209"/>
      <c r="B362" s="209"/>
    </row>
    <row r="363" spans="1:2" ht="15">
      <c r="A363" s="209"/>
      <c r="B363" s="209"/>
    </row>
    <row r="364" spans="1:2" ht="15">
      <c r="A364" s="209"/>
      <c r="B364" s="209"/>
    </row>
    <row r="365" spans="1:2" ht="15">
      <c r="A365" s="209"/>
      <c r="B365" s="209"/>
    </row>
    <row r="366" spans="1:2" ht="15">
      <c r="A366" s="209"/>
      <c r="B366" s="209"/>
    </row>
    <row r="367" spans="1:2" ht="15">
      <c r="A367" s="209"/>
      <c r="B367" s="209"/>
    </row>
    <row r="368" spans="1:2" ht="15">
      <c r="A368" s="209"/>
      <c r="B368" s="209"/>
    </row>
    <row r="369" spans="1:2" ht="15">
      <c r="A369" s="209"/>
      <c r="B369" s="209"/>
    </row>
    <row r="370" spans="1:2" ht="15">
      <c r="A370" s="209"/>
      <c r="B370" s="209"/>
    </row>
    <row r="371" spans="1:2" ht="15">
      <c r="A371" s="209"/>
      <c r="B371" s="209"/>
    </row>
    <row r="372" spans="1:2" ht="15">
      <c r="A372" s="209"/>
      <c r="B372" s="209"/>
    </row>
    <row r="373" spans="1:2" ht="15">
      <c r="A373" s="209"/>
      <c r="B373" s="209"/>
    </row>
    <row r="374" spans="1:2" ht="15">
      <c r="A374" s="209"/>
      <c r="B374" s="209"/>
    </row>
    <row r="375" spans="1:2" ht="15">
      <c r="A375" s="209"/>
      <c r="B375" s="209"/>
    </row>
    <row r="376" spans="1:2" ht="15">
      <c r="A376" s="209"/>
      <c r="B376" s="209"/>
    </row>
    <row r="377" spans="1:2" ht="15">
      <c r="A377" s="209"/>
      <c r="B377" s="209"/>
    </row>
    <row r="378" spans="1:2" ht="15">
      <c r="A378" s="209"/>
      <c r="B378" s="209"/>
    </row>
    <row r="379" spans="1:2" ht="15">
      <c r="A379" s="209"/>
      <c r="B379" s="209"/>
    </row>
    <row r="380" spans="1:2" ht="15">
      <c r="A380" s="209"/>
      <c r="B380" s="209"/>
    </row>
    <row r="381" spans="1:2" ht="15">
      <c r="A381" s="209"/>
      <c r="B381" s="209"/>
    </row>
    <row r="382" spans="1:2" ht="15">
      <c r="A382" s="209"/>
      <c r="B382" s="209"/>
    </row>
    <row r="383" spans="1:2" ht="15">
      <c r="A383" s="209"/>
      <c r="B383" s="209"/>
    </row>
    <row r="384" spans="1:2" ht="15">
      <c r="A384" s="209"/>
      <c r="B384" s="209"/>
    </row>
    <row r="385" spans="1:2" ht="15">
      <c r="A385" s="209"/>
      <c r="B385" s="209"/>
    </row>
    <row r="386" spans="1:2" ht="15">
      <c r="A386" s="209"/>
      <c r="B386" s="209"/>
    </row>
    <row r="387" spans="1:2" ht="15">
      <c r="A387" s="209"/>
      <c r="B387" s="209"/>
    </row>
    <row r="388" spans="1:2" ht="15">
      <c r="A388" s="209"/>
      <c r="B388" s="209"/>
    </row>
    <row r="389" spans="1:2" ht="15">
      <c r="A389" s="209"/>
      <c r="B389" s="209"/>
    </row>
    <row r="390" spans="1:2" ht="15">
      <c r="A390" s="209"/>
      <c r="B390" s="209"/>
    </row>
    <row r="391" spans="1:2" ht="15">
      <c r="A391" s="209"/>
      <c r="B391" s="209"/>
    </row>
    <row r="392" spans="1:2" ht="15">
      <c r="A392" s="209"/>
      <c r="B392" s="209"/>
    </row>
    <row r="393" spans="1:2" ht="15">
      <c r="A393" s="209"/>
      <c r="B393" s="209"/>
    </row>
    <row r="394" spans="1:2" ht="15">
      <c r="A394" s="209"/>
      <c r="B394" s="209"/>
    </row>
    <row r="395" spans="1:2" ht="15">
      <c r="A395" s="209"/>
      <c r="B395" s="209"/>
    </row>
    <row r="396" spans="1:2" ht="15">
      <c r="A396" s="209"/>
      <c r="B396" s="209"/>
    </row>
    <row r="397" spans="1:2" ht="15">
      <c r="A397" s="209"/>
      <c r="B397" s="209"/>
    </row>
    <row r="398" spans="1:2" ht="15">
      <c r="A398" s="209"/>
      <c r="B398" s="209"/>
    </row>
    <row r="399" spans="1:2" ht="15">
      <c r="A399" s="209"/>
      <c r="B399" s="209"/>
    </row>
    <row r="400" spans="1:2" ht="15">
      <c r="A400" s="209"/>
      <c r="B400" s="209"/>
    </row>
    <row r="401" ht="15">
      <c r="B401" s="209"/>
    </row>
    <row r="402" ht="15">
      <c r="B402" s="209"/>
    </row>
    <row r="403" ht="15">
      <c r="B403" s="209"/>
    </row>
    <row r="404" ht="15">
      <c r="B404" s="209"/>
    </row>
    <row r="405" ht="15">
      <c r="B405" s="209"/>
    </row>
    <row r="406" ht="15">
      <c r="B406" s="209"/>
    </row>
    <row r="407" ht="15">
      <c r="B407" s="209"/>
    </row>
    <row r="408" ht="15">
      <c r="B408" s="209"/>
    </row>
    <row r="409" ht="15">
      <c r="B409" s="209"/>
    </row>
    <row r="410" ht="15">
      <c r="B410" s="209"/>
    </row>
    <row r="411" ht="15">
      <c r="B411" s="209"/>
    </row>
    <row r="412" ht="15">
      <c r="B412" s="209"/>
    </row>
    <row r="413" ht="15">
      <c r="B413" s="209"/>
    </row>
    <row r="414" ht="15">
      <c r="B414" s="209"/>
    </row>
    <row r="415" ht="15">
      <c r="B415" s="209"/>
    </row>
    <row r="416" ht="15">
      <c r="B416" s="209"/>
    </row>
    <row r="417" ht="15">
      <c r="B417" s="209"/>
    </row>
    <row r="418" ht="15">
      <c r="B418" s="209"/>
    </row>
    <row r="419" ht="15">
      <c r="B419" s="209"/>
    </row>
    <row r="420" ht="15">
      <c r="B420" s="209"/>
    </row>
    <row r="421" ht="15">
      <c r="B421" s="209"/>
    </row>
    <row r="422" ht="15">
      <c r="B422" s="209"/>
    </row>
    <row r="423" ht="15">
      <c r="B423" s="209"/>
    </row>
    <row r="424" ht="15">
      <c r="B424" s="209"/>
    </row>
    <row r="425" ht="15">
      <c r="B425" s="209"/>
    </row>
    <row r="426" ht="15">
      <c r="B426" s="209"/>
    </row>
    <row r="427" ht="15">
      <c r="B427" s="209"/>
    </row>
    <row r="428" ht="15">
      <c r="B428" s="209"/>
    </row>
    <row r="429" ht="15">
      <c r="B429" s="209"/>
    </row>
    <row r="430" ht="15">
      <c r="B430" s="209"/>
    </row>
    <row r="431" ht="15">
      <c r="B431" s="209"/>
    </row>
    <row r="432" ht="15">
      <c r="B432" s="209"/>
    </row>
    <row r="433" ht="15">
      <c r="B433" s="209"/>
    </row>
    <row r="434" ht="15">
      <c r="B434" s="209"/>
    </row>
    <row r="435" ht="15">
      <c r="B435" s="209"/>
    </row>
    <row r="436" ht="15">
      <c r="B436" s="209"/>
    </row>
    <row r="437" ht="15">
      <c r="B437" s="209"/>
    </row>
    <row r="438" ht="15">
      <c r="B438" s="209"/>
    </row>
    <row r="439" ht="15">
      <c r="B439" s="209"/>
    </row>
    <row r="440" ht="15">
      <c r="B440" s="209"/>
    </row>
    <row r="441" ht="15">
      <c r="B441" s="209"/>
    </row>
    <row r="442" ht="15">
      <c r="B442" s="209"/>
    </row>
    <row r="443" ht="15">
      <c r="B443" s="209"/>
    </row>
    <row r="444" ht="15">
      <c r="B444" s="209"/>
    </row>
    <row r="445" ht="15">
      <c r="B445" s="209"/>
    </row>
    <row r="446" ht="15">
      <c r="B446" s="209"/>
    </row>
    <row r="447" ht="15">
      <c r="B447" s="209"/>
    </row>
    <row r="448" ht="15">
      <c r="B448" s="209"/>
    </row>
    <row r="449" ht="15">
      <c r="B449" s="209"/>
    </row>
    <row r="450" ht="15">
      <c r="B450" s="209"/>
    </row>
    <row r="451" ht="15">
      <c r="B451" s="209"/>
    </row>
    <row r="452" ht="15">
      <c r="B452" s="209"/>
    </row>
    <row r="453" ht="15">
      <c r="B453" s="209"/>
    </row>
    <row r="454" ht="15">
      <c r="B454" s="209"/>
    </row>
    <row r="455" ht="15">
      <c r="B455" s="209"/>
    </row>
    <row r="456" ht="15">
      <c r="B456" s="209"/>
    </row>
    <row r="457" ht="15">
      <c r="B457" s="209"/>
    </row>
    <row r="458" ht="15">
      <c r="B458" s="209"/>
    </row>
    <row r="459" ht="15">
      <c r="B459" s="209"/>
    </row>
    <row r="460" ht="15">
      <c r="B460" s="209"/>
    </row>
    <row r="461" ht="15">
      <c r="B461" s="209"/>
    </row>
    <row r="462" ht="15">
      <c r="B462" s="209"/>
    </row>
    <row r="463" ht="15">
      <c r="B463" s="209"/>
    </row>
    <row r="464" ht="15">
      <c r="B464" s="209"/>
    </row>
    <row r="465" ht="15">
      <c r="B465" s="209"/>
    </row>
    <row r="466" ht="15">
      <c r="B466" s="209"/>
    </row>
    <row r="467" ht="15">
      <c r="B467" s="209"/>
    </row>
    <row r="468" ht="15">
      <c r="B468" s="209"/>
    </row>
    <row r="469" ht="15">
      <c r="B469" s="209"/>
    </row>
    <row r="470" ht="15">
      <c r="B470" s="209"/>
    </row>
    <row r="471" ht="15">
      <c r="B471" s="209"/>
    </row>
    <row r="472" ht="15">
      <c r="B472" s="209"/>
    </row>
    <row r="473" ht="15">
      <c r="B473" s="209"/>
    </row>
    <row r="474" ht="15">
      <c r="B474" s="209"/>
    </row>
    <row r="475" ht="15">
      <c r="B475" s="209"/>
    </row>
    <row r="476" ht="15">
      <c r="B476" s="209"/>
    </row>
    <row r="477" ht="15">
      <c r="B477" s="209"/>
    </row>
    <row r="478" ht="15">
      <c r="B478" s="209"/>
    </row>
    <row r="479" ht="15">
      <c r="B479" s="209"/>
    </row>
    <row r="480" ht="15">
      <c r="B480" s="209"/>
    </row>
    <row r="481" ht="15">
      <c r="B481" s="209"/>
    </row>
    <row r="482" ht="15">
      <c r="B482" s="209"/>
    </row>
    <row r="483" ht="15">
      <c r="B483" s="209"/>
    </row>
    <row r="484" ht="15">
      <c r="B484" s="209"/>
    </row>
    <row r="485" ht="15">
      <c r="B485" s="209"/>
    </row>
    <row r="486" ht="15">
      <c r="B486" s="209"/>
    </row>
    <row r="487" ht="15">
      <c r="B487" s="209"/>
    </row>
    <row r="488" ht="15">
      <c r="B488" s="209"/>
    </row>
    <row r="489" ht="15">
      <c r="B489" s="209"/>
    </row>
    <row r="490" ht="15">
      <c r="B490" s="209"/>
    </row>
    <row r="491" ht="15">
      <c r="B491" s="209"/>
    </row>
    <row r="492" ht="15">
      <c r="B492" s="209"/>
    </row>
    <row r="493" ht="15">
      <c r="B493" s="209"/>
    </row>
    <row r="494" ht="15">
      <c r="B494" s="209"/>
    </row>
    <row r="495" ht="15">
      <c r="B495" s="209"/>
    </row>
    <row r="496" ht="15">
      <c r="B496" s="209"/>
    </row>
    <row r="497" ht="15">
      <c r="B497" s="209"/>
    </row>
    <row r="498" ht="15">
      <c r="B498" s="209"/>
    </row>
    <row r="499" ht="15">
      <c r="B499" s="209"/>
    </row>
    <row r="500" ht="15">
      <c r="B500" s="209"/>
    </row>
    <row r="501" ht="15">
      <c r="B501" s="209"/>
    </row>
    <row r="502" ht="15">
      <c r="B502" s="209"/>
    </row>
    <row r="503" ht="15">
      <c r="B503" s="209"/>
    </row>
    <row r="504" ht="15">
      <c r="B504" s="209"/>
    </row>
    <row r="505" ht="15">
      <c r="B505" s="209"/>
    </row>
    <row r="506" ht="15">
      <c r="B506" s="209"/>
    </row>
    <row r="507" ht="15">
      <c r="B507" s="209"/>
    </row>
    <row r="508" ht="15">
      <c r="B508" s="209"/>
    </row>
    <row r="509" ht="15">
      <c r="B509" s="209"/>
    </row>
    <row r="510" ht="15">
      <c r="B510" s="209"/>
    </row>
    <row r="511" ht="15">
      <c r="B511" s="209"/>
    </row>
    <row r="512" ht="15">
      <c r="B512" s="209"/>
    </row>
    <row r="513" ht="15">
      <c r="B513" s="209"/>
    </row>
    <row r="514" ht="15">
      <c r="B514" s="209"/>
    </row>
    <row r="515" ht="15">
      <c r="B515" s="209"/>
    </row>
    <row r="516" ht="15">
      <c r="B516" s="209"/>
    </row>
    <row r="517" ht="15">
      <c r="B517" s="209"/>
    </row>
    <row r="518" ht="15">
      <c r="B518" s="209"/>
    </row>
    <row r="519" ht="15">
      <c r="B519" s="209"/>
    </row>
    <row r="520" ht="15">
      <c r="B520" s="209"/>
    </row>
    <row r="521" ht="15">
      <c r="B521" s="209"/>
    </row>
    <row r="522" ht="15">
      <c r="B522" s="209"/>
    </row>
    <row r="523" ht="15">
      <c r="B523" s="209"/>
    </row>
    <row r="524" ht="15">
      <c r="B524" s="209"/>
    </row>
    <row r="525" ht="15">
      <c r="B525" s="209"/>
    </row>
    <row r="526" ht="15">
      <c r="B526" s="209"/>
    </row>
    <row r="527" ht="15">
      <c r="B527" s="209"/>
    </row>
    <row r="528" ht="15">
      <c r="B528" s="209"/>
    </row>
    <row r="529" ht="15">
      <c r="B529" s="209"/>
    </row>
    <row r="530" ht="15">
      <c r="B530" s="209"/>
    </row>
    <row r="531" ht="15">
      <c r="B531" s="209"/>
    </row>
    <row r="532" ht="15">
      <c r="B532" s="209"/>
    </row>
    <row r="533" ht="15">
      <c r="B533" s="209"/>
    </row>
    <row r="534" ht="15">
      <c r="B534" s="209"/>
    </row>
    <row r="535" ht="15">
      <c r="B535" s="209"/>
    </row>
    <row r="536" ht="15">
      <c r="B536" s="209"/>
    </row>
    <row r="537" ht="15">
      <c r="B537" s="209"/>
    </row>
    <row r="538" ht="15">
      <c r="B538" s="209"/>
    </row>
    <row r="539" ht="15">
      <c r="B539" s="209"/>
    </row>
    <row r="540" ht="15">
      <c r="B540" s="209"/>
    </row>
    <row r="541" ht="15">
      <c r="B541" s="209"/>
    </row>
    <row r="542" ht="15">
      <c r="B542" s="209"/>
    </row>
    <row r="543" ht="15">
      <c r="B543" s="209"/>
    </row>
    <row r="544" ht="15">
      <c r="B544" s="209"/>
    </row>
    <row r="545" ht="15">
      <c r="B545" s="209"/>
    </row>
    <row r="546" ht="15">
      <c r="B546" s="209"/>
    </row>
    <row r="547" ht="15">
      <c r="B547" s="209"/>
    </row>
    <row r="548" ht="15">
      <c r="B548" s="209"/>
    </row>
    <row r="549" ht="15">
      <c r="B549" s="209"/>
    </row>
    <row r="550" ht="15">
      <c r="B550" s="209"/>
    </row>
    <row r="551" ht="15">
      <c r="B551" s="209"/>
    </row>
    <row r="552" ht="15">
      <c r="B552" s="209"/>
    </row>
    <row r="553" ht="15">
      <c r="B553" s="209"/>
    </row>
    <row r="554" ht="15">
      <c r="B554" s="209"/>
    </row>
    <row r="555" ht="15">
      <c r="B555" s="209"/>
    </row>
    <row r="556" ht="15">
      <c r="B556" s="209"/>
    </row>
    <row r="557" ht="15">
      <c r="B557" s="209"/>
    </row>
    <row r="558" ht="15">
      <c r="B558" s="209"/>
    </row>
    <row r="559" ht="15">
      <c r="B559" s="209"/>
    </row>
    <row r="560" ht="15">
      <c r="B560" s="209"/>
    </row>
    <row r="561" ht="15">
      <c r="B561" s="20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Nathan Smith-</cp:lastModifiedBy>
  <cp:lastPrinted>2011-11-17T15:41:49Z</cp:lastPrinted>
  <dcterms:created xsi:type="dcterms:W3CDTF">1999-09-14T15:50:48Z</dcterms:created>
  <dcterms:modified xsi:type="dcterms:W3CDTF">2019-02-19T19:38:59Z</dcterms:modified>
  <cp:category/>
  <cp:version/>
  <cp:contentType/>
  <cp:contentStatus/>
</cp:coreProperties>
</file>